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1989B236-090C-49B2-A08F-BDFC3216D84C}" xr6:coauthVersionLast="47" xr6:coauthVersionMax="47" xr10:uidLastSave="{00000000-0000-0000-0000-000000000000}"/>
  <bookViews>
    <workbookView xWindow="-120" yWindow="-120" windowWidth="20730" windowHeight="11040" tabRatio="705" activeTab="6" xr2:uid="{00000000-000D-0000-FFFF-FFFF00000000}"/>
  </bookViews>
  <sheets>
    <sheet name="62_QT" sheetId="1" r:id="rId1"/>
    <sheet name="63_QT" sheetId="2" r:id="rId2"/>
    <sheet name="64_QT " sheetId="3" r:id="rId3"/>
    <sheet name="65_QT" sheetId="4" r:id="rId4"/>
    <sheet name="66_QT " sheetId="16" r:id="rId5"/>
    <sheet name="67_QT" sheetId="6" r:id="rId6"/>
    <sheet name="68_QT" sheetId="21" r:id="rId7"/>
    <sheet name="Bieu53_NQ83 HDND" sheetId="17" state="hidden" r:id="rId8"/>
    <sheet name="Bieu 52_NQ83 HDND" sheetId="18" state="hidden" r:id="rId9"/>
    <sheet name="Bieu 54_NQ83 HDND" sheetId="19" state="hidden" r:id="rId10"/>
  </sheets>
  <externalReferences>
    <externalReference r:id="rId11"/>
  </externalReferences>
  <definedNames>
    <definedName name="_________a1" localSheetId="6" hidden="1">{"'Sheet1'!$L$16"}</definedName>
    <definedName name="_________a1" hidden="1">{"'Sheet1'!$L$16"}</definedName>
    <definedName name="_________PA3" localSheetId="6" hidden="1">{"'Sheet1'!$L$16"}</definedName>
    <definedName name="_________PA3" hidden="1">{"'Sheet1'!$L$16"}</definedName>
    <definedName name="_______a1" localSheetId="6" hidden="1">{"'Sheet1'!$L$16"}</definedName>
    <definedName name="_______a1" hidden="1">{"'Sheet1'!$L$16"}</definedName>
    <definedName name="_______PA3" localSheetId="6" hidden="1">{"'Sheet1'!$L$16"}</definedName>
    <definedName name="_______PA3" hidden="1">{"'Sheet1'!$L$16"}</definedName>
    <definedName name="______a1" localSheetId="6" hidden="1">{"'Sheet1'!$L$16"}</definedName>
    <definedName name="______a1" hidden="1">{"'Sheet1'!$L$16"}</definedName>
    <definedName name="______h1" localSheetId="6" hidden="1">{"'Sheet1'!$L$16"}</definedName>
    <definedName name="______h1" hidden="1">{"'Sheet1'!$L$16"}</definedName>
    <definedName name="______h10" localSheetId="6" hidden="1">{#N/A,#N/A,FALSE,"Chi tiÆt"}</definedName>
    <definedName name="______h10" hidden="1">{#N/A,#N/A,FALSE,"Chi tiÆt"}</definedName>
    <definedName name="______h2" localSheetId="6" hidden="1">{"'Sheet1'!$L$16"}</definedName>
    <definedName name="______h2" hidden="1">{"'Sheet1'!$L$16"}</definedName>
    <definedName name="______h3" localSheetId="6" hidden="1">{"'Sheet1'!$L$16"}</definedName>
    <definedName name="______h3" hidden="1">{"'Sheet1'!$L$16"}</definedName>
    <definedName name="______h5" localSheetId="6" hidden="1">{"'Sheet1'!$L$16"}</definedName>
    <definedName name="______h5" hidden="1">{"'Sheet1'!$L$16"}</definedName>
    <definedName name="______h6" localSheetId="6" hidden="1">{"'Sheet1'!$L$16"}</definedName>
    <definedName name="______h6" hidden="1">{"'Sheet1'!$L$16"}</definedName>
    <definedName name="______h7" localSheetId="6" hidden="1">{"'Sheet1'!$L$16"}</definedName>
    <definedName name="______h7" hidden="1">{"'Sheet1'!$L$16"}</definedName>
    <definedName name="______h8" localSheetId="6" hidden="1">{"'Sheet1'!$L$16"}</definedName>
    <definedName name="______h8" hidden="1">{"'Sheet1'!$L$16"}</definedName>
    <definedName name="______h9" localSheetId="6" hidden="1">{"'Sheet1'!$L$16"}</definedName>
    <definedName name="______h9" hidden="1">{"'Sheet1'!$L$16"}</definedName>
    <definedName name="______NSO2" localSheetId="6" hidden="1">{"'Sheet1'!$L$16"}</definedName>
    <definedName name="______NSO2" hidden="1">{"'Sheet1'!$L$16"}</definedName>
    <definedName name="______PA3" localSheetId="6" hidden="1">{"'Sheet1'!$L$16"}</definedName>
    <definedName name="______PA3" hidden="1">{"'Sheet1'!$L$16"}</definedName>
    <definedName name="______vl2" localSheetId="6" hidden="1">{"'Sheet1'!$L$16"}</definedName>
    <definedName name="______vl2" hidden="1">{"'Sheet1'!$L$16"}</definedName>
    <definedName name="_____a1" localSheetId="6" hidden="1">{"'Sheet1'!$L$16"}</definedName>
    <definedName name="_____a1" hidden="1">{"'Sheet1'!$L$16"}</definedName>
    <definedName name="_____h1" localSheetId="6" hidden="1">{"'Sheet1'!$L$16"}</definedName>
    <definedName name="_____h1" hidden="1">{"'Sheet1'!$L$16"}</definedName>
    <definedName name="_____h10" localSheetId="6" hidden="1">{#N/A,#N/A,FALSE,"Chi tiÆt"}</definedName>
    <definedName name="_____h10" hidden="1">{#N/A,#N/A,FALSE,"Chi tiÆt"}</definedName>
    <definedName name="_____h2" localSheetId="6" hidden="1">{"'Sheet1'!$L$16"}</definedName>
    <definedName name="_____h2" hidden="1">{"'Sheet1'!$L$16"}</definedName>
    <definedName name="_____h3" localSheetId="6" hidden="1">{"'Sheet1'!$L$16"}</definedName>
    <definedName name="_____h3" hidden="1">{"'Sheet1'!$L$16"}</definedName>
    <definedName name="_____h5" localSheetId="6" hidden="1">{"'Sheet1'!$L$16"}</definedName>
    <definedName name="_____h5" hidden="1">{"'Sheet1'!$L$16"}</definedName>
    <definedName name="_____h6" localSheetId="6" hidden="1">{"'Sheet1'!$L$16"}</definedName>
    <definedName name="_____h6" hidden="1">{"'Sheet1'!$L$16"}</definedName>
    <definedName name="_____h7" localSheetId="6" hidden="1">{"'Sheet1'!$L$16"}</definedName>
    <definedName name="_____h7" hidden="1">{"'Sheet1'!$L$16"}</definedName>
    <definedName name="_____h8" localSheetId="6" hidden="1">{"'Sheet1'!$L$16"}</definedName>
    <definedName name="_____h8" hidden="1">{"'Sheet1'!$L$16"}</definedName>
    <definedName name="_____h9" localSheetId="6" hidden="1">{"'Sheet1'!$L$16"}</definedName>
    <definedName name="_____h9" hidden="1">{"'Sheet1'!$L$16"}</definedName>
    <definedName name="_____NSO2" localSheetId="6" hidden="1">{"'Sheet1'!$L$16"}</definedName>
    <definedName name="_____NSO2" hidden="1">{"'Sheet1'!$L$16"}</definedName>
    <definedName name="_____PA3" localSheetId="6" hidden="1">{"'Sheet1'!$L$16"}</definedName>
    <definedName name="_____PA3" hidden="1">{"'Sheet1'!$L$16"}</definedName>
    <definedName name="_____vl2" localSheetId="6" hidden="1">{"'Sheet1'!$L$16"}</definedName>
    <definedName name="_____vl2" hidden="1">{"'Sheet1'!$L$16"}</definedName>
    <definedName name="____ban2" localSheetId="6" hidden="1">{"'Sheet1'!$L$16"}</definedName>
    <definedName name="____ban2" hidden="1">{"'Sheet1'!$L$16"}</definedName>
    <definedName name="____cep1" localSheetId="6" hidden="1">{"'Sheet1'!$L$16"}</definedName>
    <definedName name="____cep1" hidden="1">{"'Sheet1'!$L$16"}</definedName>
    <definedName name="____Coc39" localSheetId="6" hidden="1">{"'Sheet1'!$L$16"}</definedName>
    <definedName name="____Coc39" hidden="1">{"'Sheet1'!$L$16"}</definedName>
    <definedName name="____Goi8" localSheetId="6" hidden="1">{"'Sheet1'!$L$16"}</definedName>
    <definedName name="____Goi8" hidden="1">{"'Sheet1'!$L$16"}</definedName>
    <definedName name="____h1" localSheetId="6" hidden="1">{"'Sheet1'!$L$16"}</definedName>
    <definedName name="____h1" hidden="1">{"'Sheet1'!$L$16"}</definedName>
    <definedName name="____h10" localSheetId="6" hidden="1">{#N/A,#N/A,FALSE,"Chi tiÆt"}</definedName>
    <definedName name="____h10" hidden="1">{#N/A,#N/A,FALSE,"Chi tiÆt"}</definedName>
    <definedName name="____h2" localSheetId="6" hidden="1">{"'Sheet1'!$L$16"}</definedName>
    <definedName name="____h2" hidden="1">{"'Sheet1'!$L$16"}</definedName>
    <definedName name="____h3" localSheetId="6" hidden="1">{"'Sheet1'!$L$16"}</definedName>
    <definedName name="____h3" hidden="1">{"'Sheet1'!$L$16"}</definedName>
    <definedName name="____h5" localSheetId="6" hidden="1">{"'Sheet1'!$L$16"}</definedName>
    <definedName name="____h5" hidden="1">{"'Sheet1'!$L$16"}</definedName>
    <definedName name="____h6" localSheetId="6" hidden="1">{"'Sheet1'!$L$16"}</definedName>
    <definedName name="____h6" hidden="1">{"'Sheet1'!$L$16"}</definedName>
    <definedName name="____h7" localSheetId="6" hidden="1">{"'Sheet1'!$L$16"}</definedName>
    <definedName name="____h7" hidden="1">{"'Sheet1'!$L$16"}</definedName>
    <definedName name="____h8" localSheetId="6" hidden="1">{"'Sheet1'!$L$16"}</definedName>
    <definedName name="____h8" hidden="1">{"'Sheet1'!$L$16"}</definedName>
    <definedName name="____h9" localSheetId="6" hidden="1">{"'Sheet1'!$L$16"}</definedName>
    <definedName name="____h9" hidden="1">{"'Sheet1'!$L$16"}</definedName>
    <definedName name="____HUY1" localSheetId="6" hidden="1">{"'Sheet1'!$L$16"}</definedName>
    <definedName name="____HUY1" hidden="1">{"'Sheet1'!$L$16"}</definedName>
    <definedName name="____HUY2" localSheetId="6" hidden="1">{"'Sheet1'!$L$16"}</definedName>
    <definedName name="____HUY2" hidden="1">{"'Sheet1'!$L$16"}</definedName>
    <definedName name="____Lan1" localSheetId="6" hidden="1">{"'Sheet1'!$L$16"}</definedName>
    <definedName name="____Lan1" hidden="1">{"'Sheet1'!$L$16"}</definedName>
    <definedName name="____LAN3" localSheetId="6" hidden="1">{"'Sheet1'!$L$16"}</definedName>
    <definedName name="____LAN3" hidden="1">{"'Sheet1'!$L$16"}</definedName>
    <definedName name="____lk2" localSheetId="6" hidden="1">{"'Sheet1'!$L$16"}</definedName>
    <definedName name="____lk2" hidden="1">{"'Sheet1'!$L$16"}</definedName>
    <definedName name="____NSO2" localSheetId="6" hidden="1">{"'Sheet1'!$L$16"}</definedName>
    <definedName name="____NSO2" hidden="1">{"'Sheet1'!$L$16"}</definedName>
    <definedName name="____PA3" localSheetId="6" hidden="1">{"'Sheet1'!$L$16"}</definedName>
    <definedName name="____PA3" hidden="1">{"'Sheet1'!$L$16"}</definedName>
    <definedName name="____Pl2" localSheetId="6" hidden="1">{"'Sheet1'!$L$16"}</definedName>
    <definedName name="____Pl2" hidden="1">{"'Sheet1'!$L$16"}</definedName>
    <definedName name="____Tru21" localSheetId="6" hidden="1">{"'Sheet1'!$L$16"}</definedName>
    <definedName name="____Tru21" hidden="1">{"'Sheet1'!$L$16"}</definedName>
    <definedName name="____tt3" localSheetId="6" hidden="1">{"'Sheet1'!$L$16"}</definedName>
    <definedName name="____tt3" hidden="1">{"'Sheet1'!$L$16"}</definedName>
    <definedName name="____TT31" localSheetId="6" hidden="1">{"'Sheet1'!$L$16"}</definedName>
    <definedName name="____TT31" hidden="1">{"'Sheet1'!$L$16"}</definedName>
    <definedName name="____vl2" localSheetId="6" hidden="1">{"'Sheet1'!$L$16"}</definedName>
    <definedName name="____vl2" hidden="1">{"'Sheet1'!$L$16"}</definedName>
    <definedName name="____VM2" localSheetId="6" hidden="1">{"'Sheet1'!$L$16"}</definedName>
    <definedName name="____VM2" hidden="1">{"'Sheet1'!$L$16"}</definedName>
    <definedName name="___a1" localSheetId="6" hidden="1">{"'Sheet1'!$L$16"}</definedName>
    <definedName name="___a1" hidden="1">{"'Sheet1'!$L$16"}</definedName>
    <definedName name="___ban2" localSheetId="6" hidden="1">{"'Sheet1'!$L$16"}</definedName>
    <definedName name="___ban2" hidden="1">{"'Sheet1'!$L$16"}</definedName>
    <definedName name="___cep1" localSheetId="6" hidden="1">{"'Sheet1'!$L$16"}</definedName>
    <definedName name="___cep1" hidden="1">{"'Sheet1'!$L$16"}</definedName>
    <definedName name="___Coc39" localSheetId="6" hidden="1">{"'Sheet1'!$L$16"}</definedName>
    <definedName name="___Coc39" hidden="1">{"'Sheet1'!$L$16"}</definedName>
    <definedName name="___Goi8" localSheetId="6" hidden="1">{"'Sheet1'!$L$16"}</definedName>
    <definedName name="___Goi8" hidden="1">{"'Sheet1'!$L$16"}</definedName>
    <definedName name="___h1" localSheetId="6" hidden="1">{"'Sheet1'!$L$16"}</definedName>
    <definedName name="___h1" hidden="1">{"'Sheet1'!$L$16"}</definedName>
    <definedName name="___h10" localSheetId="6" hidden="1">{#N/A,#N/A,FALSE,"Chi tiÆt"}</definedName>
    <definedName name="___h10" hidden="1">{#N/A,#N/A,FALSE,"Chi tiÆt"}</definedName>
    <definedName name="___h2" localSheetId="6" hidden="1">{"'Sheet1'!$L$16"}</definedName>
    <definedName name="___h2" hidden="1">{"'Sheet1'!$L$16"}</definedName>
    <definedName name="___h3" localSheetId="6" hidden="1">{"'Sheet1'!$L$16"}</definedName>
    <definedName name="___h3" hidden="1">{"'Sheet1'!$L$16"}</definedName>
    <definedName name="___h5" localSheetId="6" hidden="1">{"'Sheet1'!$L$16"}</definedName>
    <definedName name="___h5" hidden="1">{"'Sheet1'!$L$16"}</definedName>
    <definedName name="___h6" localSheetId="6" hidden="1">{"'Sheet1'!$L$16"}</definedName>
    <definedName name="___h6" hidden="1">{"'Sheet1'!$L$16"}</definedName>
    <definedName name="___h7" localSheetId="6" hidden="1">{"'Sheet1'!$L$16"}</definedName>
    <definedName name="___h7" hidden="1">{"'Sheet1'!$L$16"}</definedName>
    <definedName name="___h8" localSheetId="6" hidden="1">{"'Sheet1'!$L$16"}</definedName>
    <definedName name="___h8" hidden="1">{"'Sheet1'!$L$16"}</definedName>
    <definedName name="___h9" localSheetId="6" hidden="1">{"'Sheet1'!$L$16"}</definedName>
    <definedName name="___h9" hidden="1">{"'Sheet1'!$L$16"}</definedName>
    <definedName name="___HUY1" localSheetId="6" hidden="1">{"'Sheet1'!$L$16"}</definedName>
    <definedName name="___HUY1" hidden="1">{"'Sheet1'!$L$16"}</definedName>
    <definedName name="___HUY2" localSheetId="6" hidden="1">{"'Sheet1'!$L$16"}</definedName>
    <definedName name="___HUY2" hidden="1">{"'Sheet1'!$L$16"}</definedName>
    <definedName name="___Lan1" localSheetId="6" hidden="1">{"'Sheet1'!$L$16"}</definedName>
    <definedName name="___Lan1" hidden="1">{"'Sheet1'!$L$16"}</definedName>
    <definedName name="___LAN3" localSheetId="6" hidden="1">{"'Sheet1'!$L$16"}</definedName>
    <definedName name="___LAN3" hidden="1">{"'Sheet1'!$L$16"}</definedName>
    <definedName name="___lk2" localSheetId="6" hidden="1">{"'Sheet1'!$L$16"}</definedName>
    <definedName name="___lk2" hidden="1">{"'Sheet1'!$L$16"}</definedName>
    <definedName name="___NSO2" localSheetId="6" hidden="1">{"'Sheet1'!$L$16"}</definedName>
    <definedName name="___NSO2" hidden="1">{"'Sheet1'!$L$16"}</definedName>
    <definedName name="___PA3" localSheetId="6" hidden="1">{"'Sheet1'!$L$16"}</definedName>
    <definedName name="___PA3" hidden="1">{"'Sheet1'!$L$16"}</definedName>
    <definedName name="___Pl2" localSheetId="6" hidden="1">{"'Sheet1'!$L$16"}</definedName>
    <definedName name="___Pl2" hidden="1">{"'Sheet1'!$L$16"}</definedName>
    <definedName name="___Tru21" localSheetId="6" hidden="1">{"'Sheet1'!$L$16"}</definedName>
    <definedName name="___Tru21" hidden="1">{"'Sheet1'!$L$16"}</definedName>
    <definedName name="___tt3" localSheetId="6" hidden="1">{"'Sheet1'!$L$16"}</definedName>
    <definedName name="___tt3" hidden="1">{"'Sheet1'!$L$16"}</definedName>
    <definedName name="___TT31" localSheetId="6" hidden="1">{"'Sheet1'!$L$16"}</definedName>
    <definedName name="___TT31" hidden="1">{"'Sheet1'!$L$16"}</definedName>
    <definedName name="___vl2" localSheetId="6" hidden="1">{"'Sheet1'!$L$16"}</definedName>
    <definedName name="___vl2" hidden="1">{"'Sheet1'!$L$16"}</definedName>
    <definedName name="___VM2" localSheetId="6" hidden="1">{"'Sheet1'!$L$16"}</definedName>
    <definedName name="___VM2" hidden="1">{"'Sheet1'!$L$16"}</definedName>
    <definedName name="__a1" localSheetId="6" hidden="1">{"'Sheet1'!$L$16"}</definedName>
    <definedName name="__a1" hidden="1">{"'Sheet1'!$L$16"}</definedName>
    <definedName name="__ban2" localSheetId="6" hidden="1">{"'Sheet1'!$L$16"}</definedName>
    <definedName name="__ban2" hidden="1">{"'Sheet1'!$L$16"}</definedName>
    <definedName name="__cep1" localSheetId="6" hidden="1">{"'Sheet1'!$L$16"}</definedName>
    <definedName name="__cep1" hidden="1">{"'Sheet1'!$L$16"}</definedName>
    <definedName name="__Coc39" localSheetId="6" hidden="1">{"'Sheet1'!$L$16"}</definedName>
    <definedName name="__Coc39" hidden="1">{"'Sheet1'!$L$16"}</definedName>
    <definedName name="__Goi8" localSheetId="6" hidden="1">{"'Sheet1'!$L$16"}</definedName>
    <definedName name="__Goi8" hidden="1">{"'Sheet1'!$L$16"}</definedName>
    <definedName name="__h1" localSheetId="6" hidden="1">{"'Sheet1'!$L$16"}</definedName>
    <definedName name="__h1" hidden="1">{"'Sheet1'!$L$16"}</definedName>
    <definedName name="__h10" localSheetId="6" hidden="1">{#N/A,#N/A,FALSE,"Chi tiÆt"}</definedName>
    <definedName name="__h10" hidden="1">{#N/A,#N/A,FALSE,"Chi tiÆt"}</definedName>
    <definedName name="__h2" localSheetId="6" hidden="1">{"'Sheet1'!$L$16"}</definedName>
    <definedName name="__h2" hidden="1">{"'Sheet1'!$L$16"}</definedName>
    <definedName name="__h3" localSheetId="6" hidden="1">{"'Sheet1'!$L$16"}</definedName>
    <definedName name="__h3" hidden="1">{"'Sheet1'!$L$16"}</definedName>
    <definedName name="__h5" localSheetId="6" hidden="1">{"'Sheet1'!$L$16"}</definedName>
    <definedName name="__h5" hidden="1">{"'Sheet1'!$L$16"}</definedName>
    <definedName name="__h6" localSheetId="6" hidden="1">{"'Sheet1'!$L$16"}</definedName>
    <definedName name="__h6" hidden="1">{"'Sheet1'!$L$16"}</definedName>
    <definedName name="__h7" localSheetId="6" hidden="1">{"'Sheet1'!$L$16"}</definedName>
    <definedName name="__h7" hidden="1">{"'Sheet1'!$L$16"}</definedName>
    <definedName name="__h8" localSheetId="6" hidden="1">{"'Sheet1'!$L$16"}</definedName>
    <definedName name="__h8" hidden="1">{"'Sheet1'!$L$16"}</definedName>
    <definedName name="__h9" localSheetId="6" hidden="1">{"'Sheet1'!$L$16"}</definedName>
    <definedName name="__h9" hidden="1">{"'Sheet1'!$L$16"}</definedName>
    <definedName name="__HUY1" localSheetId="6" hidden="1">{"'Sheet1'!$L$16"}</definedName>
    <definedName name="__HUY1" hidden="1">{"'Sheet1'!$L$16"}</definedName>
    <definedName name="__HUY2" localSheetId="6" hidden="1">{"'Sheet1'!$L$16"}</definedName>
    <definedName name="__HUY2" hidden="1">{"'Sheet1'!$L$16"}</definedName>
    <definedName name="__Lan1" localSheetId="6" hidden="1">{"'Sheet1'!$L$16"}</definedName>
    <definedName name="__Lan1" hidden="1">{"'Sheet1'!$L$16"}</definedName>
    <definedName name="__LAN3" localSheetId="6" hidden="1">{"'Sheet1'!$L$16"}</definedName>
    <definedName name="__LAN3" hidden="1">{"'Sheet1'!$L$16"}</definedName>
    <definedName name="__lk2" localSheetId="6" hidden="1">{"'Sheet1'!$L$16"}</definedName>
    <definedName name="__lk2" hidden="1">{"'Sheet1'!$L$16"}</definedName>
    <definedName name="__NSO2" localSheetId="6" hidden="1">{"'Sheet1'!$L$16"}</definedName>
    <definedName name="__NSO2" hidden="1">{"'Sheet1'!$L$16"}</definedName>
    <definedName name="__PA3" localSheetId="6" hidden="1">{"'Sheet1'!$L$16"}</definedName>
    <definedName name="__PA3" hidden="1">{"'Sheet1'!$L$16"}</definedName>
    <definedName name="__Pl2" localSheetId="6" hidden="1">{"'Sheet1'!$L$16"}</definedName>
    <definedName name="__Pl2" hidden="1">{"'Sheet1'!$L$16"}</definedName>
    <definedName name="__Tru21" localSheetId="6" hidden="1">{"'Sheet1'!$L$16"}</definedName>
    <definedName name="__Tru21" hidden="1">{"'Sheet1'!$L$16"}</definedName>
    <definedName name="__tt3" localSheetId="6" hidden="1">{"'Sheet1'!$L$16"}</definedName>
    <definedName name="__tt3" hidden="1">{"'Sheet1'!$L$16"}</definedName>
    <definedName name="__TT31" localSheetId="6" hidden="1">{"'Sheet1'!$L$16"}</definedName>
    <definedName name="__TT31" hidden="1">{"'Sheet1'!$L$16"}</definedName>
    <definedName name="__vl2" localSheetId="6" hidden="1">{"'Sheet1'!$L$16"}</definedName>
    <definedName name="__vl2" hidden="1">{"'Sheet1'!$L$16"}</definedName>
    <definedName name="__VM2" localSheetId="6" hidden="1">{"'Sheet1'!$L$16"}</definedName>
    <definedName name="__VM2" hidden="1">{"'Sheet1'!$L$16"}</definedName>
    <definedName name="_ban2" localSheetId="6" hidden="1">{"'Sheet1'!$L$16"}</definedName>
    <definedName name="_ban2" hidden="1">{"'Sheet1'!$L$16"}</definedName>
    <definedName name="_cep1" localSheetId="6" hidden="1">{"'Sheet1'!$L$16"}</definedName>
    <definedName name="_cep1" hidden="1">{"'Sheet1'!$L$16"}</definedName>
    <definedName name="_Coc39" localSheetId="6" hidden="1">{"'Sheet1'!$L$16"}</definedName>
    <definedName name="_Coc39" hidden="1">{"'Sheet1'!$L$16"}</definedName>
    <definedName name="_Goi8" localSheetId="6" hidden="1">{"'Sheet1'!$L$16"}</definedName>
    <definedName name="_Goi8" hidden="1">{"'Sheet1'!$L$16"}</definedName>
    <definedName name="_h1" localSheetId="6" hidden="1">{"'Sheet1'!$L$16"}</definedName>
    <definedName name="_h1" hidden="1">{"'Sheet1'!$L$16"}</definedName>
    <definedName name="_h10" localSheetId="6" hidden="1">{#N/A,#N/A,FALSE,"Chi tiÆt"}</definedName>
    <definedName name="_h10" hidden="1">{#N/A,#N/A,FALSE,"Chi tiÆt"}</definedName>
    <definedName name="_h2" localSheetId="6" hidden="1">{"'Sheet1'!$L$16"}</definedName>
    <definedName name="_h2" hidden="1">{"'Sheet1'!$L$16"}</definedName>
    <definedName name="_h3" localSheetId="6" hidden="1">{"'Sheet1'!$L$16"}</definedName>
    <definedName name="_h3" hidden="1">{"'Sheet1'!$L$16"}</definedName>
    <definedName name="_h5" localSheetId="6" hidden="1">{"'Sheet1'!$L$16"}</definedName>
    <definedName name="_h5" hidden="1">{"'Sheet1'!$L$16"}</definedName>
    <definedName name="_h6" localSheetId="6" hidden="1">{"'Sheet1'!$L$16"}</definedName>
    <definedName name="_h6" hidden="1">{"'Sheet1'!$L$16"}</definedName>
    <definedName name="_h7" localSheetId="6" hidden="1">{"'Sheet1'!$L$16"}</definedName>
    <definedName name="_h7" hidden="1">{"'Sheet1'!$L$16"}</definedName>
    <definedName name="_h8" localSheetId="6" hidden="1">{"'Sheet1'!$L$16"}</definedName>
    <definedName name="_h8" hidden="1">{"'Sheet1'!$L$16"}</definedName>
    <definedName name="_h9" localSheetId="6" hidden="1">{"'Sheet1'!$L$16"}</definedName>
    <definedName name="_h9" hidden="1">{"'Sheet1'!$L$16"}</definedName>
    <definedName name="_HUY1" localSheetId="6" hidden="1">{"'Sheet1'!$L$16"}</definedName>
    <definedName name="_HUY1" hidden="1">{"'Sheet1'!$L$16"}</definedName>
    <definedName name="_HUY2" localSheetId="6" hidden="1">{"'Sheet1'!$L$16"}</definedName>
    <definedName name="_HUY2" hidden="1">{"'Sheet1'!$L$16"}</definedName>
    <definedName name="_Key1" localSheetId="6" hidden="1">#REF!</definedName>
    <definedName name="_Key1" hidden="1">#REF!</definedName>
    <definedName name="_Key2" localSheetId="6" hidden="1">#REF!</definedName>
    <definedName name="_Key2" hidden="1">#REF!</definedName>
    <definedName name="_Lan1" localSheetId="6" hidden="1">{"'Sheet1'!$L$16"}</definedName>
    <definedName name="_Lan1" hidden="1">{"'Sheet1'!$L$16"}</definedName>
    <definedName name="_LAN3" localSheetId="6" hidden="1">{"'Sheet1'!$L$16"}</definedName>
    <definedName name="_LAN3" hidden="1">{"'Sheet1'!$L$16"}</definedName>
    <definedName name="_lk2" localSheetId="6" hidden="1">{"'Sheet1'!$L$16"}</definedName>
    <definedName name="_lk2" hidden="1">{"'Sheet1'!$L$16"}</definedName>
    <definedName name="_NSO2" localSheetId="6" hidden="1">{"'Sheet1'!$L$16"}</definedName>
    <definedName name="_NSO2" hidden="1">{"'Sheet1'!$L$16"}</definedName>
    <definedName name="_Order1" hidden="1">255</definedName>
    <definedName name="_Order2" hidden="1">255</definedName>
    <definedName name="_PA3" localSheetId="6" hidden="1">{"'Sheet1'!$L$16"}</definedName>
    <definedName name="_PA3" hidden="1">{"'Sheet1'!$L$16"}</definedName>
    <definedName name="_Pl2" localSheetId="6" hidden="1">{"'Sheet1'!$L$16"}</definedName>
    <definedName name="_Pl2" hidden="1">{"'Sheet1'!$L$16"}</definedName>
    <definedName name="_Sort" localSheetId="6" hidden="1">#REF!</definedName>
    <definedName name="_Sort" hidden="1">#REF!</definedName>
    <definedName name="_Tru21" localSheetId="6" hidden="1">{"'Sheet1'!$L$16"}</definedName>
    <definedName name="_Tru21" hidden="1">{"'Sheet1'!$L$16"}</definedName>
    <definedName name="_tt3" localSheetId="6" hidden="1">{"'Sheet1'!$L$16"}</definedName>
    <definedName name="_tt3" hidden="1">{"'Sheet1'!$L$16"}</definedName>
    <definedName name="_TT31" localSheetId="6" hidden="1">{"'Sheet1'!$L$16"}</definedName>
    <definedName name="_TT31" hidden="1">{"'Sheet1'!$L$16"}</definedName>
    <definedName name="_vl2" localSheetId="6" hidden="1">{"'Sheet1'!$L$16"}</definedName>
    <definedName name="_vl2" hidden="1">{"'Sheet1'!$L$16"}</definedName>
    <definedName name="_VM2" localSheetId="6" hidden="1">{"'Sheet1'!$L$16"}</definedName>
    <definedName name="_VM2" hidden="1">{"'Sheet1'!$L$16"}</definedName>
    <definedName name="â" localSheetId="6" hidden="1">{"'Sheet1'!$L$16"}</definedName>
    <definedName name="â" hidden="1">{"'Sheet1'!$L$16"}</definedName>
    <definedName name="AccessDatabase" hidden="1">"C:\My Documents\LeBinh\Xls\VP Cong ty\FORM.mdb"</definedName>
    <definedName name="ADADADD" localSheetId="6" hidden="1">{"'Sheet1'!$L$16"}</definedName>
    <definedName name="ADADADD" hidden="1">{"'Sheet1'!$L$16"}</definedName>
    <definedName name="anscount" hidden="1">6</definedName>
    <definedName name="ATGT" localSheetId="6" hidden="1">{"'Sheet1'!$L$16"}</definedName>
    <definedName name="ATGT" hidden="1">{"'Sheet1'!$L$16"}</definedName>
    <definedName name="b" localSheetId="6" hidden="1">{"'Sheet1'!$L$16"}</definedName>
    <definedName name="b" hidden="1">{"'Sheet1'!$L$16"}</definedName>
    <definedName name="BCBo" localSheetId="6" hidden="1">{"'Sheet1'!$L$16"}</definedName>
    <definedName name="BCBo" hidden="1">{"'Sheet1'!$L$16"}</definedName>
    <definedName name="btnm3" localSheetId="6" hidden="1">{"'Sheet1'!$L$16"}</definedName>
    <definedName name="btnm3" hidden="1">{"'Sheet1'!$L$16"}</definedName>
    <definedName name="chitietbgiang2" localSheetId="6" hidden="1">{"'Sheet1'!$L$16"}</definedName>
    <definedName name="chitietbgiang2" hidden="1">{"'Sheet1'!$L$16"}</definedName>
    <definedName name="Coc_60" localSheetId="6" hidden="1">{"'Sheet1'!$L$16"}</definedName>
    <definedName name="Coc_60" hidden="1">{"'Sheet1'!$L$16"}</definedName>
    <definedName name="Code" localSheetId="6" hidden="1">#REF!</definedName>
    <definedName name="Code" hidden="1">#REF!</definedName>
    <definedName name="CTCT1" localSheetId="6" hidden="1">{"'Sheet1'!$L$16"}</definedName>
    <definedName name="CTCT1" hidden="1">{"'Sheet1'!$L$16"}</definedName>
    <definedName name="d" localSheetId="6" hidden="1">{"'Sheet1'!$L$16"}</definedName>
    <definedName name="d" hidden="1">{"'Sheet1'!$L$16"}</definedName>
    <definedName name="data1" localSheetId="6" hidden="1">#REF!</definedName>
    <definedName name="data1" hidden="1">#REF!</definedName>
    <definedName name="data2" localSheetId="6" hidden="1">#REF!</definedName>
    <definedName name="data2" hidden="1">#REF!</definedName>
    <definedName name="data3" localSheetId="6" hidden="1">#REF!</definedName>
    <definedName name="data3" hidden="1">#REF!</definedName>
    <definedName name="DenDK" localSheetId="6" hidden="1">{"'Sheet1'!$L$16"}</definedName>
    <definedName name="DenDK" hidden="1">{"'Sheet1'!$L$16"}</definedName>
    <definedName name="dfg" localSheetId="6" hidden="1">{"'Sheet1'!$L$16"}</definedName>
    <definedName name="dfg" hidden="1">{"'Sheet1'!$L$16"}</definedName>
    <definedName name="dgctp2" localSheetId="6" hidden="1">{"'Sheet1'!$L$16"}</definedName>
    <definedName name="dgctp2" hidden="1">{"'Sheet1'!$L$16"}</definedName>
    <definedName name="Discount" localSheetId="6" hidden="1">#REF!</definedName>
    <definedName name="Discount" hidden="1">#REF!</definedName>
    <definedName name="display_area_2" localSheetId="6" hidden="1">#REF!</definedName>
    <definedName name="display_area_2" hidden="1">#REF!</definedName>
    <definedName name="dsh" localSheetId="6" hidden="1">#REF!</definedName>
    <definedName name="dsh" hidden="1">#REF!</definedName>
    <definedName name="DUCANH" localSheetId="6" hidden="1">{"'Sheet1'!$L$16"}</definedName>
    <definedName name="DUCANH" hidden="1">{"'Sheet1'!$L$16"}</definedName>
    <definedName name="E" localSheetId="6" hidden="1">{#N/A,#N/A,FALSE,"BN (2)"}</definedName>
    <definedName name="E" hidden="1">{#N/A,#N/A,FALSE,"BN (2)"}</definedName>
    <definedName name="f" localSheetId="6" hidden="1">{"'Sheet1'!$L$16"}</definedName>
    <definedName name="f" hidden="1">{"'Sheet1'!$L$16"}</definedName>
    <definedName name="FCode" localSheetId="6" hidden="1">#REF!</definedName>
    <definedName name="FCode" hidden="1">#REF!</definedName>
    <definedName name="fsdfdsf" localSheetId="6" hidden="1">{"'Sheet1'!$L$16"}</definedName>
    <definedName name="fsdfdsf" hidden="1">{"'Sheet1'!$L$16"}</definedName>
    <definedName name="g" localSheetId="6" hidden="1">{"'Sheet1'!$L$16"}</definedName>
    <definedName name="g" hidden="1">{"'Sheet1'!$L$16"}</definedName>
    <definedName name="h" localSheetId="6" hidden="1">{"'Sheet1'!$L$16"}</definedName>
    <definedName name="h" hidden="1">{"'Sheet1'!$L$16"}</definedName>
    <definedName name="HANG" localSheetId="6" hidden="1">{#N/A,#N/A,FALSE,"Chi tiÆt"}</definedName>
    <definedName name="HANG" hidden="1">{#N/A,#N/A,FALSE,"Chi tiÆt"}</definedName>
    <definedName name="hhh" localSheetId="6" hidden="1">{"'Sheet1'!$L$16"}</definedName>
    <definedName name="hhh" hidden="1">{"'Sheet1'!$L$16"}</definedName>
    <definedName name="HiddenRows" localSheetId="6" hidden="1">#REF!</definedName>
    <definedName name="HiddenRows" hidden="1">#REF!</definedName>
    <definedName name="HIHIHIHOI" localSheetId="6" hidden="1">{"'Sheet1'!$L$16"}</definedName>
    <definedName name="HIHIHIHOI" hidden="1">{"'Sheet1'!$L$16"}</definedName>
    <definedName name="hj" localSheetId="6" hidden="1">{"'Sheet1'!$L$16"}</definedName>
    <definedName name="hj" hidden="1">{"'Sheet1'!$L$16"}</definedName>
    <definedName name="HJKL" localSheetId="6" hidden="1">{"'Sheet1'!$L$16"}</definedName>
    <definedName name="HJKL" hidden="1">{"'Sheet1'!$L$16"}</definedName>
    <definedName name="htlm" localSheetId="6" hidden="1">{"'Sheet1'!$L$16"}</definedName>
    <definedName name="htlm" hidden="1">{"'Sheet1'!$L$16"}</definedName>
    <definedName name="HTML_CodePage" hidden="1">950</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6" hidden="1">{"'Sheet1'!$L$16"}</definedName>
    <definedName name="htrhrt" hidden="1">{"'Sheet1'!$L$16"}</definedName>
    <definedName name="hu" localSheetId="6" hidden="1">{"'Sheet1'!$L$16"}</definedName>
    <definedName name="hu" hidden="1">{"'Sheet1'!$L$16"}</definedName>
    <definedName name="huy" localSheetId="6" hidden="1">{"'Sheet1'!$L$16"}</definedName>
    <definedName name="huy" hidden="1">{"'Sheet1'!$L$16"}</definedName>
    <definedName name="KHANHKHUNG" localSheetId="6" hidden="1">{"'Sheet1'!$L$16"}</definedName>
    <definedName name="KHANHKHUNG" hidden="1">{"'Sheet1'!$L$16"}</definedName>
    <definedName name="khla09" localSheetId="6" hidden="1">{"'Sheet1'!$L$16"}</definedName>
    <definedName name="khla09" hidden="1">{"'Sheet1'!$L$16"}</definedName>
    <definedName name="khongtruotgia" localSheetId="6" hidden="1">{"'Sheet1'!$L$16"}</definedName>
    <definedName name="khongtruotgia" hidden="1">{"'Sheet1'!$L$16"}</definedName>
    <definedName name="khvh09" localSheetId="6" hidden="1">{"'Sheet1'!$L$16"}</definedName>
    <definedName name="khvh09" hidden="1">{"'Sheet1'!$L$16"}</definedName>
    <definedName name="KHYt09" localSheetId="6" hidden="1">{"'Sheet1'!$L$16"}</definedName>
    <definedName name="KHYt09" hidden="1">{"'Sheet1'!$L$16"}</definedName>
    <definedName name="KLduonggiaods" localSheetId="6" hidden="1">{"'Sheet1'!$L$16"}</definedName>
    <definedName name="KLduonggiaods" hidden="1">{"'Sheet1'!$L$16"}</definedName>
    <definedName name="komtun" localSheetId="6" hidden="1">{"'Sheet1'!$L$16"}</definedName>
    <definedName name="komtun" hidden="1">{"'Sheet1'!$L$16"}</definedName>
    <definedName name="kontum" localSheetId="6" hidden="1">{#N/A,#N/A,TRUE,"BT M200 da 10x20"}</definedName>
    <definedName name="kontum" hidden="1">{#N/A,#N/A,TRUE,"BT M200 da 10x20"}</definedName>
    <definedName name="ksbn" localSheetId="6" hidden="1">{"'Sheet1'!$L$16"}</definedName>
    <definedName name="ksbn" hidden="1">{"'Sheet1'!$L$16"}</definedName>
    <definedName name="kshn" localSheetId="6" hidden="1">{"'Sheet1'!$L$16"}</definedName>
    <definedName name="kshn" hidden="1">{"'Sheet1'!$L$16"}</definedName>
    <definedName name="ksls" localSheetId="6" hidden="1">{"'Sheet1'!$L$16"}</definedName>
    <definedName name="ksls" hidden="1">{"'Sheet1'!$L$16"}</definedName>
    <definedName name="lan" localSheetId="6" hidden="1">{#N/A,#N/A,TRUE,"BT M200 da 10x20"}</definedName>
    <definedName name="lan" hidden="1">{#N/A,#N/A,TRUE,"BT M200 da 10x20"}</definedName>
    <definedName name="langson" localSheetId="6" hidden="1">{"'Sheet1'!$L$16"}</definedName>
    <definedName name="langson" hidden="1">{"'Sheet1'!$L$16"}</definedName>
    <definedName name="mo" localSheetId="6" hidden="1">{"'Sheet1'!$L$16"}</definedName>
    <definedName name="mo" hidden="1">{"'Sheet1'!$L$16"}</definedName>
    <definedName name="NHANH2_CG4" localSheetId="6" hidden="1">{"'Sheet1'!$L$16"}</definedName>
    <definedName name="NHANH2_CG4" hidden="1">{"'Sheet1'!$L$16"}</definedName>
    <definedName name="OrderTable" localSheetId="6" hidden="1">#REF!</definedName>
    <definedName name="OrderTable" hidden="1">#REF!</definedName>
    <definedName name="PAIII_" localSheetId="6" hidden="1">{"'Sheet1'!$L$16"}</definedName>
    <definedName name="PAIII_" hidden="1">{"'Sheet1'!$L$16"}</definedName>
    <definedName name="PMS" localSheetId="6" hidden="1">{"'Sheet1'!$L$16"}</definedName>
    <definedName name="PMS" hidden="1">{"'Sheet1'!$L$16"}</definedName>
    <definedName name="_xlnm.Print_Area" localSheetId="3">'65_QT'!$A$1:$E$46</definedName>
    <definedName name="_xlnm.Print_Area" localSheetId="6">'68_QT'!$A$1:$BV$52</definedName>
    <definedName name="_xlnm.Print_Titles" localSheetId="1">'63_QT'!$6:$7</definedName>
    <definedName name="_xlnm.Print_Titles" localSheetId="2">'64_QT '!$5:$7</definedName>
    <definedName name="_xlnm.Print_Titles" localSheetId="3">'65_QT'!$6:$7</definedName>
    <definedName name="_xlnm.Print_Titles" localSheetId="4">'66_QT '!$6:$9</definedName>
    <definedName name="ProdForm" localSheetId="6" hidden="1">#REF!</definedName>
    <definedName name="ProdForm" hidden="1">#REF!</definedName>
    <definedName name="Product" localSheetId="6" hidden="1">#REF!</definedName>
    <definedName name="Product" hidden="1">#REF!</definedName>
    <definedName name="RCArea" localSheetId="6" hidden="1">#REF!</definedName>
    <definedName name="RCArea" hidden="1">#REF!</definedName>
    <definedName name="re" localSheetId="6" hidden="1">{"'Sheet1'!$L$16"}</definedName>
    <definedName name="re" hidden="1">{"'Sheet1'!$L$16"}</definedName>
    <definedName name="RGHGSD" localSheetId="6" hidden="1">{"'Sheet1'!$L$16"}</definedName>
    <definedName name="RGHGSD" hidden="1">{"'Sheet1'!$L$16"}</definedName>
    <definedName name="rr" localSheetId="6" hidden="1">{"'Sheet1'!$L$16"}</definedName>
    <definedName name="rr" hidden="1">{"'Sheet1'!$L$16"}</definedName>
    <definedName name="sdbv" localSheetId="6" hidden="1">{"'Sheet1'!$L$16"}</definedName>
    <definedName name="sdbv" hidden="1">{"'Sheet1'!$L$16"}</definedName>
    <definedName name="Sosanh2" localSheetId="6" hidden="1">{"'Sheet1'!$L$16"}</definedName>
    <definedName name="Sosanh2" hidden="1">{"'Sheet1'!$L$16"}</definedName>
    <definedName name="SpecialPrice" localSheetId="6" hidden="1">#REF!</definedName>
    <definedName name="SpecialPrice" hidden="1">#REF!</definedName>
    <definedName name="T.3" localSheetId="6" hidden="1">{"'Sheet1'!$L$16"}</definedName>
    <definedName name="T.3" hidden="1">{"'Sheet1'!$L$16"}</definedName>
    <definedName name="tbl_ProdInfo" localSheetId="6" hidden="1">#REF!</definedName>
    <definedName name="tbl_ProdInfo" hidden="1">#REF!</definedName>
    <definedName name="tha" localSheetId="6" hidden="1">{"'Sheet1'!$L$16"}</definedName>
    <definedName name="tha" hidden="1">{"'Sheet1'!$L$16"}</definedName>
    <definedName name="trong" localSheetId="6" hidden="1">{"'Sheet1'!$L$16"}</definedName>
    <definedName name="trong" hidden="1">{"'Sheet1'!$L$16"}</definedName>
    <definedName name="ttttt" localSheetId="6" hidden="1">{"'Sheet1'!$L$16"}</definedName>
    <definedName name="ttttt" hidden="1">{"'Sheet1'!$L$16"}</definedName>
    <definedName name="ttttttttttt" localSheetId="6" hidden="1">{"'Sheet1'!$L$16"}</definedName>
    <definedName name="ttttttttttt" hidden="1">{"'Sheet1'!$L$16"}</definedName>
    <definedName name="tuyennhanh" localSheetId="6" hidden="1">{"'Sheet1'!$L$16"}</definedName>
    <definedName name="tuyennhanh" hidden="1">{"'Sheet1'!$L$16"}</definedName>
    <definedName name="uu" localSheetId="6" hidden="1">{"'Sheet1'!$L$16"}</definedName>
    <definedName name="uu" hidden="1">{"'Sheet1'!$L$16"}</definedName>
    <definedName name="VATM" localSheetId="6" hidden="1">{"'Sheet1'!$L$16"}</definedName>
    <definedName name="VATM" hidden="1">{"'Sheet1'!$L$16"}</definedName>
    <definedName name="vcoto" localSheetId="6" hidden="1">{"'Sheet1'!$L$16"}</definedName>
    <definedName name="vcoto" hidden="1">{"'Sheet1'!$L$16"}</definedName>
    <definedName name="VH" localSheetId="6" hidden="1">{"'Sheet1'!$L$16"}</definedName>
    <definedName name="VH" hidden="1">{"'Sheet1'!$L$16"}</definedName>
    <definedName name="Viet" localSheetId="6" hidden="1">{"'Sheet1'!$L$16"}</definedName>
    <definedName name="Viet" hidden="1">{"'Sheet1'!$L$16"}</definedName>
    <definedName name="vlct" localSheetId="6" hidden="1">{"'Sheet1'!$L$16"}</definedName>
    <definedName name="vlct" hidden="1">{"'Sheet1'!$L$16"}</definedName>
    <definedName name="wrn.Bang._.ke._.nhan._.hang." localSheetId="6" hidden="1">{#N/A,#N/A,FALSE,"Ke khai NH"}</definedName>
    <definedName name="wrn.Bang._.ke._.nhan._.hang." hidden="1">{#N/A,#N/A,FALSE,"Ke khai NH"}</definedName>
    <definedName name="wrn.Che._.do._.duoc._.huong." localSheetId="6" hidden="1">{#N/A,#N/A,FALSE,"BN (2)"}</definedName>
    <definedName name="wrn.Che._.do._.duoc._.huong." hidden="1">{#N/A,#N/A,FALSE,"BN (2)"}</definedName>
    <definedName name="wrn.chi._.tiÆt." localSheetId="6" hidden="1">{#N/A,#N/A,FALSE,"Chi tiÆt"}</definedName>
    <definedName name="wrn.chi._.tiÆt." hidden="1">{#N/A,#N/A,FALSE,"Chi tiÆt"}</definedName>
    <definedName name="wrn.Giáy._.bao._.no." localSheetId="6" hidden="1">{#N/A,#N/A,FALSE,"BN"}</definedName>
    <definedName name="wrn.Giáy._.bao._.no." hidden="1">{#N/A,#N/A,FALSE,"BN"}</definedName>
    <definedName name="wrn.vd." localSheetId="6" hidden="1">{#N/A,#N/A,TRUE,"BT M200 da 10x20"}</definedName>
    <definedName name="wrn.vd." hidden="1">{#N/A,#N/A,TRUE,"BT M200 da 10x20"}</definedName>
    <definedName name="xls" localSheetId="6" hidden="1">{"'Sheet1'!$L$16"}</definedName>
    <definedName name="xls" hidden="1">{"'Sheet1'!$L$16"}</definedName>
    <definedName name="xlttbninh" localSheetId="6" hidden="1">{"'Sheet1'!$L$16"}</definedName>
    <definedName name="xlttbninh" hidden="1">{"'Sheet1'!$L$16"}</definedName>
  </definedNames>
  <calcPr calcId="191029"/>
</workbook>
</file>

<file path=xl/calcChain.xml><?xml version="1.0" encoding="utf-8"?>
<calcChain xmlns="http://schemas.openxmlformats.org/spreadsheetml/2006/main">
  <c r="BU52" i="21" l="1"/>
  <c r="BR52" i="21"/>
  <c r="BN52" i="21"/>
  <c r="BK52" i="21"/>
  <c r="BG52" i="21"/>
  <c r="BD52" i="21"/>
  <c r="AV52" i="21"/>
  <c r="AS52" i="21"/>
  <c r="AO52" i="21"/>
  <c r="AL52" i="21"/>
  <c r="AH52" i="21"/>
  <c r="AD52" i="21" s="1"/>
  <c r="AE52" i="21"/>
  <c r="AB52" i="21" s="1"/>
  <c r="X52" i="21"/>
  <c r="U52" i="21"/>
  <c r="Q52" i="21"/>
  <c r="BM52" i="21" s="1"/>
  <c r="N52" i="21"/>
  <c r="D52" i="21" s="1"/>
  <c r="J52" i="21"/>
  <c r="G52" i="21"/>
  <c r="F52" i="21"/>
  <c r="BU51" i="21"/>
  <c r="BR51" i="21"/>
  <c r="BN51" i="21"/>
  <c r="BM51" i="21"/>
  <c r="BK51" i="21"/>
  <c r="BG51" i="21"/>
  <c r="BD51" i="21"/>
  <c r="AV51" i="21"/>
  <c r="AS51" i="21"/>
  <c r="AR51" i="21" s="1"/>
  <c r="BP51" i="21" s="1"/>
  <c r="AO51" i="21"/>
  <c r="AL51" i="21"/>
  <c r="AK51" i="21" s="1"/>
  <c r="AH51" i="21"/>
  <c r="AE51" i="21"/>
  <c r="X51" i="21"/>
  <c r="U51" i="21"/>
  <c r="T51" i="21" s="1"/>
  <c r="Q51" i="21"/>
  <c r="N51" i="21"/>
  <c r="M51" i="21" s="1"/>
  <c r="J51" i="21"/>
  <c r="G51" i="21"/>
  <c r="D51" i="21" s="1"/>
  <c r="BU50" i="21"/>
  <c r="BR50" i="21"/>
  <c r="BN50" i="21"/>
  <c r="BG50" i="21"/>
  <c r="BD50" i="21"/>
  <c r="AV50" i="21"/>
  <c r="AS50" i="21"/>
  <c r="AR50" i="21"/>
  <c r="AO50" i="21"/>
  <c r="BM50" i="21" s="1"/>
  <c r="AL50" i="21"/>
  <c r="AH50" i="21"/>
  <c r="AE50" i="21"/>
  <c r="AD50" i="21" s="1"/>
  <c r="X50" i="21"/>
  <c r="U50" i="21"/>
  <c r="T50" i="21"/>
  <c r="Q50" i="21"/>
  <c r="N50" i="21"/>
  <c r="J50" i="21"/>
  <c r="G50" i="21"/>
  <c r="D50" i="21" s="1"/>
  <c r="BU49" i="21"/>
  <c r="BR49" i="21"/>
  <c r="BN49" i="21"/>
  <c r="BM49" i="21"/>
  <c r="BG49" i="21"/>
  <c r="BD49" i="21"/>
  <c r="AV49" i="21"/>
  <c r="BT49" i="21" s="1"/>
  <c r="AS49" i="21"/>
  <c r="AO49" i="21"/>
  <c r="AL49" i="21"/>
  <c r="AK49" i="21" s="1"/>
  <c r="AH49" i="21"/>
  <c r="AD49" i="21" s="1"/>
  <c r="AE49" i="21"/>
  <c r="AB49" i="21" s="1"/>
  <c r="X49" i="21"/>
  <c r="U49" i="21"/>
  <c r="T49" i="21" s="1"/>
  <c r="Q49" i="21"/>
  <c r="N49" i="21"/>
  <c r="M49" i="21" s="1"/>
  <c r="J49" i="21"/>
  <c r="G49" i="21"/>
  <c r="D49" i="21" s="1"/>
  <c r="BU48" i="21"/>
  <c r="BR48" i="21"/>
  <c r="BN48" i="21"/>
  <c r="BG48" i="21"/>
  <c r="BD48" i="21"/>
  <c r="AV48" i="21"/>
  <c r="AS48" i="21"/>
  <c r="AR48" i="21"/>
  <c r="AO48" i="21"/>
  <c r="BM48" i="21" s="1"/>
  <c r="AL48" i="21"/>
  <c r="AK48" i="21" s="1"/>
  <c r="AH48" i="21"/>
  <c r="AE48" i="21"/>
  <c r="AB48" i="21" s="1"/>
  <c r="X48" i="21"/>
  <c r="U48" i="21"/>
  <c r="T48" i="21"/>
  <c r="Q48" i="21"/>
  <c r="N48" i="21"/>
  <c r="M48" i="21" s="1"/>
  <c r="J48" i="21"/>
  <c r="G48" i="21"/>
  <c r="D48" i="21" s="1"/>
  <c r="BU47" i="21"/>
  <c r="BR47" i="21"/>
  <c r="BN47" i="21"/>
  <c r="BK47" i="21"/>
  <c r="BG47" i="21"/>
  <c r="BD47" i="21"/>
  <c r="AV47" i="21"/>
  <c r="AS47" i="21"/>
  <c r="AO47" i="21"/>
  <c r="BM47" i="21" s="1"/>
  <c r="AL47" i="21"/>
  <c r="AB47" i="21" s="1"/>
  <c r="AH47" i="21"/>
  <c r="AE47" i="21"/>
  <c r="BC47" i="21" s="1"/>
  <c r="X47" i="21"/>
  <c r="T47" i="21" s="1"/>
  <c r="U47" i="21"/>
  <c r="Q47" i="21"/>
  <c r="N47" i="21"/>
  <c r="J47" i="21"/>
  <c r="E47" i="21" s="1"/>
  <c r="G47" i="21"/>
  <c r="BU46" i="21"/>
  <c r="BR46" i="21"/>
  <c r="BN46" i="21"/>
  <c r="BM46" i="21"/>
  <c r="BG46" i="21"/>
  <c r="BD46" i="21"/>
  <c r="AV46" i="21"/>
  <c r="AS46" i="21"/>
  <c r="BQ46" i="21" s="1"/>
  <c r="AO46" i="21"/>
  <c r="AL46" i="21"/>
  <c r="AB46" i="21" s="1"/>
  <c r="AH46" i="21"/>
  <c r="AE46" i="21"/>
  <c r="AD46" i="21" s="1"/>
  <c r="BB46" i="21" s="1"/>
  <c r="X46" i="21"/>
  <c r="T46" i="21" s="1"/>
  <c r="U46" i="21"/>
  <c r="Q46" i="21"/>
  <c r="N46" i="21"/>
  <c r="J46" i="21"/>
  <c r="G46" i="21"/>
  <c r="F46" i="21" s="1"/>
  <c r="BU45" i="21"/>
  <c r="BR45" i="21"/>
  <c r="BN45" i="21"/>
  <c r="BG45" i="21"/>
  <c r="BD45" i="21"/>
  <c r="AV45" i="21"/>
  <c r="AS45" i="21"/>
  <c r="AO45" i="21"/>
  <c r="AL45" i="21"/>
  <c r="AB45" i="21" s="1"/>
  <c r="AH45" i="21"/>
  <c r="AE45" i="21"/>
  <c r="BC45" i="21" s="1"/>
  <c r="X45" i="21"/>
  <c r="T45" i="21" s="1"/>
  <c r="U45" i="21"/>
  <c r="Q45" i="21"/>
  <c r="BM45" i="21" s="1"/>
  <c r="N45" i="21"/>
  <c r="J45" i="21"/>
  <c r="E45" i="21" s="1"/>
  <c r="G45" i="21"/>
  <c r="BU44" i="21"/>
  <c r="BR44" i="21"/>
  <c r="BN44" i="21"/>
  <c r="BM44" i="21"/>
  <c r="BG44" i="21"/>
  <c r="BD44" i="21"/>
  <c r="AV44" i="21"/>
  <c r="AS44" i="21"/>
  <c r="BQ44" i="21" s="1"/>
  <c r="AO44" i="21"/>
  <c r="AL44" i="21"/>
  <c r="AB44" i="21" s="1"/>
  <c r="AH44" i="21"/>
  <c r="AE44" i="21"/>
  <c r="AD44" i="21" s="1"/>
  <c r="BB44" i="21" s="1"/>
  <c r="X44" i="21"/>
  <c r="T44" i="21" s="1"/>
  <c r="U44" i="21"/>
  <c r="Q44" i="21"/>
  <c r="N44" i="21"/>
  <c r="J44" i="21"/>
  <c r="G44" i="21"/>
  <c r="F44" i="21" s="1"/>
  <c r="BU43" i="21"/>
  <c r="BR43" i="21"/>
  <c r="BN43" i="21"/>
  <c r="BG43" i="21"/>
  <c r="BD43" i="21"/>
  <c r="AV43" i="21"/>
  <c r="AS43" i="21"/>
  <c r="AO43" i="21"/>
  <c r="AL43" i="21"/>
  <c r="AB43" i="21" s="1"/>
  <c r="AH43" i="21"/>
  <c r="AE43" i="21"/>
  <c r="BC43" i="21" s="1"/>
  <c r="X43" i="21"/>
  <c r="T43" i="21" s="1"/>
  <c r="U43" i="21"/>
  <c r="U42" i="21" s="1"/>
  <c r="Q43" i="21"/>
  <c r="BM43" i="21" s="1"/>
  <c r="N43" i="21"/>
  <c r="J43" i="21"/>
  <c r="E43" i="21" s="1"/>
  <c r="G43" i="21"/>
  <c r="BR42" i="21"/>
  <c r="BG42" i="21"/>
  <c r="AX42" i="21"/>
  <c r="AW42" i="21"/>
  <c r="BU42" i="21" s="1"/>
  <c r="AU42" i="21"/>
  <c r="AU12" i="21" s="1"/>
  <c r="AT42" i="21"/>
  <c r="AS42" i="21"/>
  <c r="AQ42" i="21"/>
  <c r="AP42" i="21"/>
  <c r="AO42" i="21"/>
  <c r="AN42" i="21"/>
  <c r="AM42" i="21"/>
  <c r="AJ42" i="21"/>
  <c r="AJ12" i="21" s="1"/>
  <c r="AI42" i="21"/>
  <c r="AG42" i="21"/>
  <c r="AF42" i="21"/>
  <c r="BD42" i="21" s="1"/>
  <c r="Z42" i="21"/>
  <c r="Y42" i="21"/>
  <c r="W42" i="21"/>
  <c r="V42" i="21"/>
  <c r="S42" i="21"/>
  <c r="R42" i="21"/>
  <c r="P42" i="21"/>
  <c r="O42" i="21"/>
  <c r="L42" i="21"/>
  <c r="L12" i="21" s="1"/>
  <c r="K42" i="21"/>
  <c r="I42" i="21"/>
  <c r="H42" i="21"/>
  <c r="AO41" i="21"/>
  <c r="AC41" i="21" s="1"/>
  <c r="AL41" i="21"/>
  <c r="AB41" i="21" s="1"/>
  <c r="Q41" i="21"/>
  <c r="N41" i="21"/>
  <c r="J41" i="21"/>
  <c r="F41" i="21" s="1"/>
  <c r="D41" i="21"/>
  <c r="BU40" i="21"/>
  <c r="BG40" i="21"/>
  <c r="AV40" i="21"/>
  <c r="AS40" i="21"/>
  <c r="AO40" i="21"/>
  <c r="AL40" i="21"/>
  <c r="AH40" i="21"/>
  <c r="BF40" i="21" s="1"/>
  <c r="AE40" i="21"/>
  <c r="AD40" i="21" s="1"/>
  <c r="X40" i="21"/>
  <c r="U40" i="21"/>
  <c r="T40" i="21" s="1"/>
  <c r="Q40" i="21"/>
  <c r="N40" i="21"/>
  <c r="J40" i="21"/>
  <c r="E40" i="21" s="1"/>
  <c r="G40" i="21"/>
  <c r="F40" i="21" s="1"/>
  <c r="BU39" i="21"/>
  <c r="AV39" i="21"/>
  <c r="AS39" i="21"/>
  <c r="AR39" i="21" s="1"/>
  <c r="AO39" i="21"/>
  <c r="AL39" i="21"/>
  <c r="AH39" i="21"/>
  <c r="AE39" i="21"/>
  <c r="AD39" i="21" s="1"/>
  <c r="X39" i="21"/>
  <c r="U39" i="21"/>
  <c r="Q39" i="21"/>
  <c r="N39" i="21"/>
  <c r="M39" i="21" s="1"/>
  <c r="J39" i="21"/>
  <c r="G39" i="21"/>
  <c r="BU38" i="21"/>
  <c r="AV38" i="21"/>
  <c r="AS38" i="21"/>
  <c r="AR38" i="21" s="1"/>
  <c r="AO38" i="21"/>
  <c r="AL38" i="21"/>
  <c r="AK38" i="21" s="1"/>
  <c r="AH38" i="21"/>
  <c r="AE38" i="21"/>
  <c r="AB38" i="21" s="1"/>
  <c r="X38" i="21"/>
  <c r="U38" i="21"/>
  <c r="T38" i="21" s="1"/>
  <c r="Q38" i="21"/>
  <c r="N38" i="21"/>
  <c r="M38" i="21" s="1"/>
  <c r="J38" i="21"/>
  <c r="G38" i="21"/>
  <c r="F38" i="21" s="1"/>
  <c r="BU37" i="21"/>
  <c r="AV37" i="21"/>
  <c r="AS37" i="21"/>
  <c r="AO37" i="21"/>
  <c r="AL37" i="21"/>
  <c r="AK37" i="21" s="1"/>
  <c r="AH37" i="21"/>
  <c r="AE37" i="21"/>
  <c r="AC37" i="21"/>
  <c r="X37" i="21"/>
  <c r="BT37" i="21" s="1"/>
  <c r="U37" i="21"/>
  <c r="Q37" i="21"/>
  <c r="N37" i="21"/>
  <c r="M37" i="21" s="1"/>
  <c r="J37" i="21"/>
  <c r="G37" i="21"/>
  <c r="E37" i="21"/>
  <c r="BU36" i="21"/>
  <c r="AV36" i="21"/>
  <c r="AS36" i="21"/>
  <c r="AO36" i="21"/>
  <c r="AL36" i="21"/>
  <c r="AH36" i="21"/>
  <c r="AE36" i="21"/>
  <c r="AD36" i="21"/>
  <c r="X36" i="21"/>
  <c r="T36" i="21" s="1"/>
  <c r="U36" i="21"/>
  <c r="Q36" i="21"/>
  <c r="N36" i="21"/>
  <c r="D36" i="21" s="1"/>
  <c r="J36" i="21"/>
  <c r="G36" i="21"/>
  <c r="F36" i="21" s="1"/>
  <c r="BU35" i="21"/>
  <c r="AV35" i="21"/>
  <c r="AS35" i="21"/>
  <c r="AO35" i="21"/>
  <c r="AL35" i="21"/>
  <c r="AK35" i="21" s="1"/>
  <c r="AH35" i="21"/>
  <c r="AE35" i="21"/>
  <c r="X35" i="21"/>
  <c r="U35" i="21"/>
  <c r="T35" i="21" s="1"/>
  <c r="Q35" i="21"/>
  <c r="N35" i="21"/>
  <c r="J35" i="21"/>
  <c r="G35" i="21"/>
  <c r="F35" i="21" s="1"/>
  <c r="BU34" i="21"/>
  <c r="AV34" i="21"/>
  <c r="AS34" i="21"/>
  <c r="AR34" i="21"/>
  <c r="AO34" i="21"/>
  <c r="AL34" i="21"/>
  <c r="AH34" i="21"/>
  <c r="AE34" i="21"/>
  <c r="AD34" i="21" s="1"/>
  <c r="X34" i="21"/>
  <c r="BT34" i="21" s="1"/>
  <c r="U34" i="21"/>
  <c r="T34" i="21"/>
  <c r="Q34" i="21"/>
  <c r="N34" i="21"/>
  <c r="J34" i="21"/>
  <c r="G34" i="21"/>
  <c r="D34" i="21" s="1"/>
  <c r="BU33" i="21"/>
  <c r="AV33" i="21"/>
  <c r="AS33" i="21"/>
  <c r="AR33" i="21" s="1"/>
  <c r="AO33" i="21"/>
  <c r="AL33" i="21"/>
  <c r="AK33" i="21" s="1"/>
  <c r="AH33" i="21"/>
  <c r="AC33" i="21" s="1"/>
  <c r="AE33" i="21"/>
  <c r="X33" i="21"/>
  <c r="BT33" i="21" s="1"/>
  <c r="U33" i="21"/>
  <c r="T33" i="21" s="1"/>
  <c r="Q33" i="21"/>
  <c r="N33" i="21"/>
  <c r="M33" i="21" s="1"/>
  <c r="J33" i="21"/>
  <c r="E33" i="21" s="1"/>
  <c r="G33" i="21"/>
  <c r="BU32" i="21"/>
  <c r="BR32" i="21"/>
  <c r="BQ32" i="21"/>
  <c r="BG32" i="21"/>
  <c r="AV32" i="21"/>
  <c r="AR32" i="21" s="1"/>
  <c r="BP32" i="21" s="1"/>
  <c r="AS32" i="21"/>
  <c r="AO32" i="21"/>
  <c r="AL32" i="21"/>
  <c r="AK32" i="21" s="1"/>
  <c r="AH32" i="21"/>
  <c r="AE32" i="21"/>
  <c r="AB32" i="21" s="1"/>
  <c r="X32" i="21"/>
  <c r="T32" i="21" s="1"/>
  <c r="U32" i="21"/>
  <c r="Q32" i="21"/>
  <c r="N32" i="21"/>
  <c r="M32" i="21" s="1"/>
  <c r="J32" i="21"/>
  <c r="G32" i="21"/>
  <c r="D32" i="21" s="1"/>
  <c r="BU31" i="21"/>
  <c r="AV31" i="21"/>
  <c r="AS31" i="21"/>
  <c r="AR31" i="21" s="1"/>
  <c r="AO31" i="21"/>
  <c r="AL31" i="21"/>
  <c r="AK31" i="21" s="1"/>
  <c r="AH31" i="21"/>
  <c r="AE31" i="21"/>
  <c r="AC31" i="21"/>
  <c r="X31" i="21"/>
  <c r="BT31" i="21" s="1"/>
  <c r="U31" i="21"/>
  <c r="T31" i="21" s="1"/>
  <c r="Q31" i="21"/>
  <c r="N31" i="21"/>
  <c r="M31" i="21" s="1"/>
  <c r="J31" i="21"/>
  <c r="G31" i="21"/>
  <c r="E31" i="21"/>
  <c r="BU30" i="21"/>
  <c r="AV30" i="21"/>
  <c r="AS30" i="21"/>
  <c r="AO30" i="21"/>
  <c r="AL30" i="21"/>
  <c r="AB30" i="21" s="1"/>
  <c r="AH30" i="21"/>
  <c r="AE30" i="21"/>
  <c r="AD30" i="21"/>
  <c r="X30" i="21"/>
  <c r="U30" i="21"/>
  <c r="T30" i="21" s="1"/>
  <c r="Q30" i="21"/>
  <c r="N30" i="21"/>
  <c r="J30" i="21"/>
  <c r="E30" i="21" s="1"/>
  <c r="G30" i="21"/>
  <c r="F30" i="21" s="1"/>
  <c r="BU29" i="21"/>
  <c r="BR29" i="21"/>
  <c r="BN29" i="21"/>
  <c r="BG29" i="21"/>
  <c r="AV29" i="21"/>
  <c r="AS29" i="21"/>
  <c r="AR29" i="21" s="1"/>
  <c r="AO29" i="21"/>
  <c r="AL29" i="21"/>
  <c r="AK29" i="21" s="1"/>
  <c r="AH29" i="21"/>
  <c r="AE29" i="21"/>
  <c r="AD29" i="21" s="1"/>
  <c r="X29" i="21"/>
  <c r="U29" i="21"/>
  <c r="T29" i="21" s="1"/>
  <c r="Q29" i="21"/>
  <c r="BM29" i="21" s="1"/>
  <c r="N29" i="21"/>
  <c r="M29" i="21" s="1"/>
  <c r="J29" i="21"/>
  <c r="G29" i="21"/>
  <c r="D29" i="21" s="1"/>
  <c r="BU28" i="21"/>
  <c r="AV28" i="21"/>
  <c r="AS28" i="21"/>
  <c r="AO28" i="21"/>
  <c r="AK28" i="21" s="1"/>
  <c r="AL28" i="21"/>
  <c r="AH28" i="21"/>
  <c r="AE28" i="21"/>
  <c r="AD28" i="21" s="1"/>
  <c r="X28" i="21"/>
  <c r="U28" i="21"/>
  <c r="Q28" i="21"/>
  <c r="M28" i="21" s="1"/>
  <c r="N28" i="21"/>
  <c r="J28" i="21"/>
  <c r="G28" i="21"/>
  <c r="F28" i="21" s="1"/>
  <c r="BU27" i="21"/>
  <c r="AV27" i="21"/>
  <c r="AS27" i="21"/>
  <c r="AO27" i="21"/>
  <c r="AL27" i="21"/>
  <c r="AH27" i="21"/>
  <c r="AE27" i="21"/>
  <c r="AD27" i="21" s="1"/>
  <c r="X27" i="21"/>
  <c r="BT27" i="21" s="1"/>
  <c r="U27" i="21"/>
  <c r="Q27" i="21"/>
  <c r="N27" i="21"/>
  <c r="J27" i="21"/>
  <c r="G27" i="21"/>
  <c r="F27" i="21"/>
  <c r="BU26" i="21"/>
  <c r="BG26" i="21"/>
  <c r="AV26" i="21"/>
  <c r="AS26" i="21"/>
  <c r="AO26" i="21"/>
  <c r="AL26" i="21"/>
  <c r="AH26" i="21"/>
  <c r="BF26" i="21" s="1"/>
  <c r="AE26" i="21"/>
  <c r="AD26" i="21" s="1"/>
  <c r="BB26" i="21" s="1"/>
  <c r="X26" i="21"/>
  <c r="U26" i="21"/>
  <c r="T26" i="21" s="1"/>
  <c r="Q26" i="21"/>
  <c r="N26" i="21"/>
  <c r="J26" i="21"/>
  <c r="E26" i="21" s="1"/>
  <c r="G26" i="21"/>
  <c r="F26" i="21" s="1"/>
  <c r="BU25" i="21"/>
  <c r="BG25" i="21"/>
  <c r="AV25" i="21"/>
  <c r="AS25" i="21"/>
  <c r="AO25" i="21"/>
  <c r="AL25" i="21"/>
  <c r="AH25" i="21"/>
  <c r="AE25" i="21"/>
  <c r="AD25" i="21" s="1"/>
  <c r="X25" i="21"/>
  <c r="U25" i="21"/>
  <c r="Q25" i="21"/>
  <c r="N25" i="21"/>
  <c r="J25" i="21"/>
  <c r="BF25" i="21" s="1"/>
  <c r="G25" i="21"/>
  <c r="BU24" i="21"/>
  <c r="BR24" i="21"/>
  <c r="BG24" i="21"/>
  <c r="AV24" i="21"/>
  <c r="AS24" i="21"/>
  <c r="AO24" i="21"/>
  <c r="AL24" i="21"/>
  <c r="AK24" i="21" s="1"/>
  <c r="AH24" i="21"/>
  <c r="AE24" i="21"/>
  <c r="AC24" i="21"/>
  <c r="X24" i="21"/>
  <c r="U24" i="21"/>
  <c r="T24" i="21" s="1"/>
  <c r="Q24" i="21"/>
  <c r="N24" i="21"/>
  <c r="J24" i="21"/>
  <c r="BF24" i="21" s="1"/>
  <c r="G24" i="21"/>
  <c r="BU23" i="21"/>
  <c r="BT23" i="21"/>
  <c r="BG23" i="21"/>
  <c r="AV23" i="21"/>
  <c r="AS23" i="21"/>
  <c r="AR23" i="21" s="1"/>
  <c r="AO23" i="21"/>
  <c r="AC23" i="21" s="1"/>
  <c r="AL23" i="21"/>
  <c r="AK23" i="21"/>
  <c r="AH23" i="21"/>
  <c r="AE23" i="21"/>
  <c r="AD23" i="21" s="1"/>
  <c r="X23" i="21"/>
  <c r="U23" i="21"/>
  <c r="Q23" i="21"/>
  <c r="M23" i="21" s="1"/>
  <c r="N23" i="21"/>
  <c r="J23" i="21"/>
  <c r="E23" i="21" s="1"/>
  <c r="G23" i="21"/>
  <c r="BG22" i="21"/>
  <c r="AV22" i="21"/>
  <c r="AS22" i="21"/>
  <c r="AO22" i="21"/>
  <c r="AL22" i="21"/>
  <c r="AH22" i="21"/>
  <c r="AE22" i="21"/>
  <c r="X22" i="21"/>
  <c r="U22" i="21"/>
  <c r="Q22" i="21"/>
  <c r="N22" i="21"/>
  <c r="M22" i="21" s="1"/>
  <c r="J22" i="21"/>
  <c r="F22" i="21" s="1"/>
  <c r="G22" i="21"/>
  <c r="BU21" i="21"/>
  <c r="BR21" i="21"/>
  <c r="BG21" i="21"/>
  <c r="AV21" i="21"/>
  <c r="AS21" i="21"/>
  <c r="BQ21" i="21" s="1"/>
  <c r="AO21" i="21"/>
  <c r="AL21" i="21"/>
  <c r="AH21" i="21"/>
  <c r="AE21" i="21"/>
  <c r="X21" i="21"/>
  <c r="BT21" i="21" s="1"/>
  <c r="U21" i="21"/>
  <c r="T21" i="21" s="1"/>
  <c r="Q21" i="21"/>
  <c r="M21" i="21" s="1"/>
  <c r="N21" i="21"/>
  <c r="J21" i="21"/>
  <c r="G21" i="21"/>
  <c r="BN20" i="21"/>
  <c r="BK20" i="21"/>
  <c r="AV20" i="21"/>
  <c r="AS20" i="21"/>
  <c r="AR20" i="21" s="1"/>
  <c r="AO20" i="21"/>
  <c r="AL20" i="21"/>
  <c r="BJ20" i="21" s="1"/>
  <c r="AH20" i="21"/>
  <c r="AE20" i="21"/>
  <c r="AD20" i="21" s="1"/>
  <c r="X20" i="21"/>
  <c r="X13" i="21" s="1"/>
  <c r="U20" i="21"/>
  <c r="Q20" i="21"/>
  <c r="M20" i="21" s="1"/>
  <c r="N20" i="21"/>
  <c r="J20" i="21"/>
  <c r="E20" i="21" s="1"/>
  <c r="G20" i="21"/>
  <c r="BU19" i="21"/>
  <c r="AV19" i="21"/>
  <c r="AS19" i="21"/>
  <c r="AB19" i="21" s="1"/>
  <c r="AO19" i="21"/>
  <c r="AL19" i="21"/>
  <c r="AK19" i="21" s="1"/>
  <c r="AH19" i="21"/>
  <c r="AE19" i="21"/>
  <c r="X19" i="21"/>
  <c r="U19" i="21"/>
  <c r="T19" i="21" s="1"/>
  <c r="Q19" i="21"/>
  <c r="N19" i="21"/>
  <c r="J19" i="21"/>
  <c r="G19" i="21"/>
  <c r="D19" i="21" s="1"/>
  <c r="BU18" i="21"/>
  <c r="BR18" i="21"/>
  <c r="AV18" i="21"/>
  <c r="AS18" i="21"/>
  <c r="AO18" i="21"/>
  <c r="AL18" i="21"/>
  <c r="AK18" i="21" s="1"/>
  <c r="AH18" i="21"/>
  <c r="AE18" i="21"/>
  <c r="X18" i="21"/>
  <c r="E18" i="21" s="1"/>
  <c r="U18" i="21"/>
  <c r="BQ18" i="21" s="1"/>
  <c r="Q18" i="21"/>
  <c r="N18" i="21"/>
  <c r="M18" i="21" s="1"/>
  <c r="J18" i="21"/>
  <c r="G18" i="21"/>
  <c r="BU17" i="21"/>
  <c r="AV17" i="21"/>
  <c r="AS17" i="21"/>
  <c r="AO17" i="21"/>
  <c r="AL17" i="21"/>
  <c r="AH17" i="21"/>
  <c r="AE17" i="21"/>
  <c r="AD17" i="21" s="1"/>
  <c r="AC17" i="21"/>
  <c r="X17" i="21"/>
  <c r="E17" i="21" s="1"/>
  <c r="U17" i="21"/>
  <c r="Q17" i="21"/>
  <c r="N17" i="21"/>
  <c r="M17" i="21" s="1"/>
  <c r="J17" i="21"/>
  <c r="G17" i="21"/>
  <c r="F17" i="21" s="1"/>
  <c r="BU16" i="21"/>
  <c r="BT16" i="21"/>
  <c r="BR16" i="21"/>
  <c r="AV16" i="21"/>
  <c r="AS16" i="21"/>
  <c r="AO16" i="21"/>
  <c r="AL16" i="21"/>
  <c r="AH16" i="21"/>
  <c r="AE16" i="21"/>
  <c r="AD16" i="21" s="1"/>
  <c r="AC16" i="21"/>
  <c r="X16" i="21"/>
  <c r="U16" i="21"/>
  <c r="T16" i="21" s="1"/>
  <c r="Q16" i="21"/>
  <c r="N16" i="21"/>
  <c r="M16" i="21" s="1"/>
  <c r="J16" i="21"/>
  <c r="E16" i="21" s="1"/>
  <c r="G16" i="21"/>
  <c r="BU15" i="21"/>
  <c r="BN15" i="21"/>
  <c r="BK15" i="21"/>
  <c r="AV15" i="21"/>
  <c r="AR15" i="21" s="1"/>
  <c r="AS15" i="21"/>
  <c r="AO15" i="21"/>
  <c r="BM15" i="21" s="1"/>
  <c r="AL15" i="21"/>
  <c r="AK15" i="21" s="1"/>
  <c r="AH15" i="21"/>
  <c r="AE15" i="21"/>
  <c r="AD15" i="21" s="1"/>
  <c r="X15" i="21"/>
  <c r="U15" i="21"/>
  <c r="T15" i="21" s="1"/>
  <c r="Q15" i="21"/>
  <c r="E15" i="21" s="1"/>
  <c r="N15" i="21"/>
  <c r="J15" i="21"/>
  <c r="G15" i="21"/>
  <c r="BU14" i="21"/>
  <c r="BR14" i="21"/>
  <c r="BN14" i="21"/>
  <c r="BG14" i="21"/>
  <c r="AV14" i="21"/>
  <c r="AS14" i="21"/>
  <c r="AO14" i="21"/>
  <c r="AL14" i="21"/>
  <c r="AH14" i="21"/>
  <c r="AE14" i="21"/>
  <c r="AB14" i="21"/>
  <c r="X14" i="21"/>
  <c r="U14" i="21"/>
  <c r="T14" i="21" s="1"/>
  <c r="Q14" i="21"/>
  <c r="Q13" i="21" s="1"/>
  <c r="N14" i="21"/>
  <c r="J14" i="21"/>
  <c r="G14" i="21"/>
  <c r="BR13" i="21"/>
  <c r="AX13" i="21"/>
  <c r="AW13" i="21"/>
  <c r="AW12" i="21" s="1"/>
  <c r="BU12" i="21" s="1"/>
  <c r="AU13" i="21"/>
  <c r="AT13" i="21"/>
  <c r="AQ13" i="21"/>
  <c r="AQ12" i="21" s="1"/>
  <c r="AP13" i="21"/>
  <c r="AP12" i="21" s="1"/>
  <c r="BN12" i="21" s="1"/>
  <c r="AN13" i="21"/>
  <c r="AN12" i="21" s="1"/>
  <c r="AM13" i="21"/>
  <c r="BK13" i="21" s="1"/>
  <c r="AJ13" i="21"/>
  <c r="AI13" i="21"/>
  <c r="AI12" i="21" s="1"/>
  <c r="AG13" i="21"/>
  <c r="AG12" i="21" s="1"/>
  <c r="AF13" i="21"/>
  <c r="AF12" i="21" s="1"/>
  <c r="BD12" i="21" s="1"/>
  <c r="Z13" i="21"/>
  <c r="Z12" i="21" s="1"/>
  <c r="Y13" i="21"/>
  <c r="Y12" i="21" s="1"/>
  <c r="W13" i="21"/>
  <c r="V13" i="21"/>
  <c r="S13" i="21"/>
  <c r="S12" i="21" s="1"/>
  <c r="R13" i="21"/>
  <c r="R12" i="21" s="1"/>
  <c r="P13" i="21"/>
  <c r="O13" i="21"/>
  <c r="L13" i="21"/>
  <c r="K13" i="21"/>
  <c r="K12" i="21" s="1"/>
  <c r="I13" i="21"/>
  <c r="I12" i="21" s="1"/>
  <c r="H13" i="21"/>
  <c r="BR12" i="21"/>
  <c r="AX12" i="21"/>
  <c r="AT12" i="21"/>
  <c r="AM12" i="21"/>
  <c r="BK12" i="21" s="1"/>
  <c r="W12" i="21"/>
  <c r="V12" i="21"/>
  <c r="P12" i="21"/>
  <c r="O12" i="21"/>
  <c r="H12" i="21"/>
  <c r="BB40" i="21" l="1"/>
  <c r="BQ14" i="21"/>
  <c r="F15" i="21"/>
  <c r="AH13" i="21"/>
  <c r="BF13" i="21" s="1"/>
  <c r="AK17" i="21"/>
  <c r="F19" i="21"/>
  <c r="E21" i="21"/>
  <c r="E22" i="21"/>
  <c r="AC22" i="21"/>
  <c r="AB25" i="21"/>
  <c r="AR27" i="21"/>
  <c r="T28" i="21"/>
  <c r="AR28" i="21"/>
  <c r="F31" i="21"/>
  <c r="AD31" i="21"/>
  <c r="AC34" i="21"/>
  <c r="AC35" i="21"/>
  <c r="AR36" i="21"/>
  <c r="BP36" i="21" s="1"/>
  <c r="E39" i="21"/>
  <c r="BT39" i="21"/>
  <c r="AK41" i="21"/>
  <c r="BK42" i="21"/>
  <c r="BQ48" i="21"/>
  <c r="BP48" i="21"/>
  <c r="BT14" i="21"/>
  <c r="M15" i="21"/>
  <c r="BI15" i="21" s="1"/>
  <c r="BA16" i="21"/>
  <c r="T17" i="21"/>
  <c r="AR17" i="21"/>
  <c r="M19" i="21"/>
  <c r="F24" i="21"/>
  <c r="BT28" i="21"/>
  <c r="AC30" i="21"/>
  <c r="BA30" i="21" s="1"/>
  <c r="AD32" i="21"/>
  <c r="M34" i="21"/>
  <c r="AK34" i="21"/>
  <c r="AR35" i="21"/>
  <c r="BP35" i="21" s="1"/>
  <c r="T37" i="21"/>
  <c r="AR37" i="21"/>
  <c r="T39" i="21"/>
  <c r="BQ43" i="21"/>
  <c r="BC44" i="21"/>
  <c r="BQ45" i="21"/>
  <c r="BC46" i="21"/>
  <c r="BQ47" i="21"/>
  <c r="BT48" i="21"/>
  <c r="BC49" i="21"/>
  <c r="M50" i="21"/>
  <c r="AK50" i="21"/>
  <c r="BG12" i="21"/>
  <c r="F16" i="21"/>
  <c r="BT17" i="21"/>
  <c r="BT18" i="21"/>
  <c r="T20" i="21"/>
  <c r="AR21" i="21"/>
  <c r="BP21" i="21" s="1"/>
  <c r="T23" i="21"/>
  <c r="BP23" i="21" s="1"/>
  <c r="E28" i="21"/>
  <c r="AC28" i="21"/>
  <c r="BQ29" i="21"/>
  <c r="AC32" i="21"/>
  <c r="AA32" i="21" s="1"/>
  <c r="Q42" i="21"/>
  <c r="AE42" i="21"/>
  <c r="BM42" i="21"/>
  <c r="BF44" i="21"/>
  <c r="BF46" i="21"/>
  <c r="BQ51" i="21"/>
  <c r="BT29" i="21"/>
  <c r="BT32" i="21"/>
  <c r="BP34" i="21"/>
  <c r="BA37" i="21"/>
  <c r="BT38" i="21"/>
  <c r="AC40" i="21"/>
  <c r="G42" i="21"/>
  <c r="BN42" i="21"/>
  <c r="E44" i="21"/>
  <c r="E46" i="21"/>
  <c r="BC48" i="21"/>
  <c r="BP50" i="21"/>
  <c r="BT51" i="21"/>
  <c r="BB52" i="21"/>
  <c r="BU13" i="21"/>
  <c r="AB18" i="21"/>
  <c r="AE13" i="21"/>
  <c r="AE12" i="21" s="1"/>
  <c r="AR19" i="21"/>
  <c r="BP19" i="21" s="1"/>
  <c r="AB20" i="21"/>
  <c r="AR22" i="21"/>
  <c r="AK25" i="21"/>
  <c r="AC27" i="21"/>
  <c r="AB29" i="21"/>
  <c r="BT35" i="21"/>
  <c r="F37" i="21"/>
  <c r="AD37" i="21"/>
  <c r="D38" i="21"/>
  <c r="AB40" i="21"/>
  <c r="AD43" i="21"/>
  <c r="AD45" i="21"/>
  <c r="AD47" i="21"/>
  <c r="BB47" i="21" s="1"/>
  <c r="AD48" i="21"/>
  <c r="BQ50" i="21"/>
  <c r="AB51" i="21"/>
  <c r="AZ51" i="21" s="1"/>
  <c r="AB16" i="21"/>
  <c r="AC26" i="21"/>
  <c r="BA26" i="21" s="1"/>
  <c r="J13" i="21"/>
  <c r="AB15" i="21"/>
  <c r="AB21" i="21"/>
  <c r="AZ21" i="21" s="1"/>
  <c r="D22" i="21"/>
  <c r="C22" i="21" s="1"/>
  <c r="E27" i="21"/>
  <c r="BP31" i="21"/>
  <c r="AC36" i="21"/>
  <c r="AH42" i="21"/>
  <c r="BQ42" i="21"/>
  <c r="F43" i="21"/>
  <c r="F45" i="21"/>
  <c r="F47" i="21"/>
  <c r="AR49" i="21"/>
  <c r="BP49" i="21" s="1"/>
  <c r="BT50" i="21"/>
  <c r="AD51" i="21"/>
  <c r="Q12" i="21"/>
  <c r="BA17" i="21"/>
  <c r="AK14" i="21"/>
  <c r="AO13" i="21"/>
  <c r="AO12" i="21" s="1"/>
  <c r="BM12" i="21" s="1"/>
  <c r="F18" i="21"/>
  <c r="E19" i="21"/>
  <c r="C19" i="21" s="1"/>
  <c r="AD21" i="21"/>
  <c r="BF23" i="21"/>
  <c r="BT24" i="21"/>
  <c r="F33" i="21"/>
  <c r="AD33" i="21"/>
  <c r="AB34" i="21"/>
  <c r="E36" i="21"/>
  <c r="C36" i="21" s="1"/>
  <c r="E38" i="21"/>
  <c r="BF43" i="21"/>
  <c r="BF45" i="21"/>
  <c r="BF47" i="21"/>
  <c r="BQ49" i="21"/>
  <c r="AB50" i="21"/>
  <c r="AB42" i="21" s="1"/>
  <c r="BQ52" i="21"/>
  <c r="AH12" i="21"/>
  <c r="AK22" i="21"/>
  <c r="AL13" i="21"/>
  <c r="BJ15" i="21"/>
  <c r="BT15" i="21"/>
  <c r="AR16" i="21"/>
  <c r="BP16" i="21" s="1"/>
  <c r="BQ16" i="21"/>
  <c r="BF21" i="21"/>
  <c r="AB17" i="21"/>
  <c r="AA17" i="21" s="1"/>
  <c r="AR14" i="21"/>
  <c r="U13" i="21"/>
  <c r="U12" i="21" s="1"/>
  <c r="AD18" i="21"/>
  <c r="AC18" i="21"/>
  <c r="BA18" i="21" s="1"/>
  <c r="F21" i="21"/>
  <c r="D21" i="21"/>
  <c r="C21" i="21" s="1"/>
  <c r="F20" i="21"/>
  <c r="D20" i="21"/>
  <c r="C20" i="21" s="1"/>
  <c r="AV13" i="21"/>
  <c r="D15" i="21"/>
  <c r="AK20" i="21"/>
  <c r="BI20" i="21" s="1"/>
  <c r="BM20" i="21"/>
  <c r="AC20" i="21"/>
  <c r="T22" i="21"/>
  <c r="F32" i="21"/>
  <c r="E32" i="21"/>
  <c r="BP17" i="21"/>
  <c r="M24" i="21"/>
  <c r="E24" i="21"/>
  <c r="AZ29" i="21"/>
  <c r="BP33" i="21"/>
  <c r="BP15" i="21"/>
  <c r="D30" i="21"/>
  <c r="C30" i="21" s="1"/>
  <c r="M30" i="21"/>
  <c r="AD14" i="21"/>
  <c r="AA16" i="21"/>
  <c r="T18" i="21"/>
  <c r="AK21" i="21"/>
  <c r="AC21" i="21"/>
  <c r="D26" i="21"/>
  <c r="C26" i="21" s="1"/>
  <c r="M26" i="21"/>
  <c r="AB27" i="21"/>
  <c r="AA27" i="21" s="1"/>
  <c r="AY27" i="21" s="1"/>
  <c r="AK27" i="21"/>
  <c r="F14" i="21"/>
  <c r="E14" i="21"/>
  <c r="AB22" i="21"/>
  <c r="AA22" i="21" s="1"/>
  <c r="AY22" i="21" s="1"/>
  <c r="D27" i="21"/>
  <c r="C27" i="21" s="1"/>
  <c r="M27" i="21"/>
  <c r="D39" i="21"/>
  <c r="C39" i="21" s="1"/>
  <c r="F39" i="21"/>
  <c r="D40" i="21"/>
  <c r="C40" i="21" s="1"/>
  <c r="M40" i="21"/>
  <c r="BN13" i="21"/>
  <c r="BG13" i="21"/>
  <c r="M14" i="21"/>
  <c r="BI14" i="21" s="1"/>
  <c r="N13" i="21"/>
  <c r="D14" i="21"/>
  <c r="AC14" i="21"/>
  <c r="BM14" i="21"/>
  <c r="AC15" i="21"/>
  <c r="BA15" i="21" s="1"/>
  <c r="D18" i="21"/>
  <c r="AD19" i="21"/>
  <c r="AC19" i="21"/>
  <c r="BA19" i="21" s="1"/>
  <c r="BA22" i="21"/>
  <c r="BA24" i="21"/>
  <c r="BT25" i="21"/>
  <c r="AR25" i="21"/>
  <c r="AD38" i="21"/>
  <c r="AC38" i="21"/>
  <c r="BA38" i="21" s="1"/>
  <c r="BT19" i="21"/>
  <c r="BQ24" i="21"/>
  <c r="AR24" i="21"/>
  <c r="BP24" i="21" s="1"/>
  <c r="F25" i="21"/>
  <c r="BB25" i="21" s="1"/>
  <c r="AR26" i="21"/>
  <c r="BP26" i="21" s="1"/>
  <c r="BT26" i="21"/>
  <c r="F29" i="21"/>
  <c r="BB29" i="21" s="1"/>
  <c r="E29" i="21"/>
  <c r="C29" i="21" s="1"/>
  <c r="AC29" i="21"/>
  <c r="AA29" i="21" s="1"/>
  <c r="BF29" i="21"/>
  <c r="AR30" i="21"/>
  <c r="BP30" i="21" s="1"/>
  <c r="BT30" i="21"/>
  <c r="M35" i="21"/>
  <c r="E35" i="21"/>
  <c r="BA35" i="21" s="1"/>
  <c r="AK39" i="21"/>
  <c r="AC39" i="21"/>
  <c r="BA39" i="21" s="1"/>
  <c r="D43" i="21"/>
  <c r="AZ43" i="21" s="1"/>
  <c r="N42" i="21"/>
  <c r="M43" i="21"/>
  <c r="D45" i="21"/>
  <c r="C45" i="21" s="1"/>
  <c r="M45" i="21"/>
  <c r="D47" i="21"/>
  <c r="C47" i="21" s="1"/>
  <c r="M47" i="21"/>
  <c r="C49" i="21"/>
  <c r="AZ49" i="21"/>
  <c r="F50" i="21"/>
  <c r="BB50" i="21" s="1"/>
  <c r="E50" i="21"/>
  <c r="C50" i="21" s="1"/>
  <c r="BF50" i="21"/>
  <c r="BT52" i="21"/>
  <c r="AS13" i="21"/>
  <c r="D16" i="21"/>
  <c r="C16" i="21" s="1"/>
  <c r="D17" i="21"/>
  <c r="C17" i="21" s="1"/>
  <c r="F23" i="21"/>
  <c r="BB23" i="21" s="1"/>
  <c r="D23" i="21"/>
  <c r="C23" i="21" s="1"/>
  <c r="AB23" i="21"/>
  <c r="AA23" i="21" s="1"/>
  <c r="AY23" i="21" s="1"/>
  <c r="T27" i="21"/>
  <c r="BP27" i="21"/>
  <c r="BI29" i="21"/>
  <c r="BA33" i="21"/>
  <c r="BT36" i="21"/>
  <c r="BP37" i="21"/>
  <c r="BP38" i="21"/>
  <c r="BP39" i="21"/>
  <c r="AR40" i="21"/>
  <c r="BP40" i="21" s="1"/>
  <c r="BT40" i="21"/>
  <c r="M41" i="21"/>
  <c r="E41" i="21"/>
  <c r="C41" i="21" s="1"/>
  <c r="BI50" i="21"/>
  <c r="AK16" i="21"/>
  <c r="AR18" i="21"/>
  <c r="AD22" i="21"/>
  <c r="BB22" i="21" s="1"/>
  <c r="BA23" i="21"/>
  <c r="E25" i="21"/>
  <c r="AC25" i="21"/>
  <c r="AA25" i="21" s="1"/>
  <c r="BA31" i="21"/>
  <c r="AR43" i="21"/>
  <c r="AV42" i="21"/>
  <c r="BT43" i="21"/>
  <c r="AR45" i="21"/>
  <c r="BP45" i="21" s="1"/>
  <c r="BT45" i="21"/>
  <c r="AR47" i="21"/>
  <c r="BP47" i="21" s="1"/>
  <c r="BT47" i="21"/>
  <c r="AZ48" i="21"/>
  <c r="F49" i="21"/>
  <c r="BB49" i="21" s="1"/>
  <c r="E49" i="21"/>
  <c r="T52" i="21"/>
  <c r="T42" i="21" s="1"/>
  <c r="X42" i="21"/>
  <c r="X12" i="21" s="1"/>
  <c r="E52" i="21"/>
  <c r="G13" i="21"/>
  <c r="G12" i="21" s="1"/>
  <c r="BC12" i="21" s="1"/>
  <c r="BF14" i="21"/>
  <c r="AD24" i="21"/>
  <c r="BB24" i="21" s="1"/>
  <c r="AB24" i="21"/>
  <c r="D25" i="21"/>
  <c r="C25" i="21" s="1"/>
  <c r="M25" i="21"/>
  <c r="BP29" i="21"/>
  <c r="AA34" i="21"/>
  <c r="AB35" i="21"/>
  <c r="AA35" i="21" s="1"/>
  <c r="AD35" i="21"/>
  <c r="AA41" i="21"/>
  <c r="BI49" i="21"/>
  <c r="AZ52" i="21"/>
  <c r="BA28" i="21"/>
  <c r="C32" i="21"/>
  <c r="AZ32" i="21"/>
  <c r="C38" i="21"/>
  <c r="AA38" i="21"/>
  <c r="BB43" i="21"/>
  <c r="AD42" i="21"/>
  <c r="D44" i="21"/>
  <c r="C44" i="21" s="1"/>
  <c r="M44" i="21"/>
  <c r="D46" i="21"/>
  <c r="AZ46" i="21" s="1"/>
  <c r="M46" i="21"/>
  <c r="F48" i="21"/>
  <c r="F42" i="21" s="1"/>
  <c r="J42" i="21"/>
  <c r="J12" i="21" s="1"/>
  <c r="E48" i="21"/>
  <c r="C48" i="21" s="1"/>
  <c r="BB48" i="21"/>
  <c r="BF22" i="21"/>
  <c r="T25" i="21"/>
  <c r="AB26" i="21"/>
  <c r="AA26" i="21" s="1"/>
  <c r="AK26" i="21"/>
  <c r="BA27" i="21"/>
  <c r="AA30" i="21"/>
  <c r="AY30" i="21" s="1"/>
  <c r="BB32" i="21"/>
  <c r="F34" i="21"/>
  <c r="E34" i="21"/>
  <c r="C34" i="21" s="1"/>
  <c r="AB36" i="21"/>
  <c r="AA36" i="21" s="1"/>
  <c r="AK36" i="21"/>
  <c r="BA40" i="21"/>
  <c r="BI48" i="21"/>
  <c r="BJ52" i="21"/>
  <c r="AK52" i="21"/>
  <c r="AR44" i="21"/>
  <c r="BP44" i="21" s="1"/>
  <c r="BT44" i="21"/>
  <c r="AR46" i="21"/>
  <c r="BP46" i="21" s="1"/>
  <c r="BT46" i="21"/>
  <c r="AZ50" i="21"/>
  <c r="F51" i="21"/>
  <c r="BB51" i="21" s="1"/>
  <c r="E51" i="21"/>
  <c r="C51" i="21" s="1"/>
  <c r="BF51" i="21"/>
  <c r="BI51" i="21"/>
  <c r="C52" i="21"/>
  <c r="D24" i="21"/>
  <c r="C24" i="21" s="1"/>
  <c r="D28" i="21"/>
  <c r="C28" i="21" s="1"/>
  <c r="D31" i="21"/>
  <c r="C31" i="21" s="1"/>
  <c r="BF32" i="21"/>
  <c r="D33" i="21"/>
  <c r="C33" i="21" s="1"/>
  <c r="AB37" i="21"/>
  <c r="AA37" i="21" s="1"/>
  <c r="AC43" i="21"/>
  <c r="AC44" i="21"/>
  <c r="BA44" i="21" s="1"/>
  <c r="AC45" i="21"/>
  <c r="BA45" i="21" s="1"/>
  <c r="AC46" i="21"/>
  <c r="AC47" i="21"/>
  <c r="BA47" i="21" s="1"/>
  <c r="BC50" i="21"/>
  <c r="BC51" i="21"/>
  <c r="D35" i="21"/>
  <c r="AB39" i="21"/>
  <c r="AC48" i="21"/>
  <c r="BA48" i="21" s="1"/>
  <c r="BF48" i="21"/>
  <c r="AC49" i="21"/>
  <c r="BA49" i="21" s="1"/>
  <c r="BF49" i="21"/>
  <c r="AC50" i="21"/>
  <c r="AC51" i="21"/>
  <c r="BA51" i="21" s="1"/>
  <c r="BC52" i="21"/>
  <c r="AL42" i="21"/>
  <c r="BJ47" i="21"/>
  <c r="AR52" i="21"/>
  <c r="AB28" i="21"/>
  <c r="AA28" i="21" s="1"/>
  <c r="AY28" i="21" s="1"/>
  <c r="AK30" i="21"/>
  <c r="AB31" i="21"/>
  <c r="AA31" i="21" s="1"/>
  <c r="AY31" i="21" s="1"/>
  <c r="AB33" i="21"/>
  <c r="AA33" i="21" s="1"/>
  <c r="AY33" i="21" s="1"/>
  <c r="M36" i="21"/>
  <c r="D37" i="21"/>
  <c r="C37" i="21" s="1"/>
  <c r="AK40" i="21"/>
  <c r="AK43" i="21"/>
  <c r="AK44" i="21"/>
  <c r="AK45" i="21"/>
  <c r="BI45" i="21" s="1"/>
  <c r="AK46" i="21"/>
  <c r="BI46" i="21" s="1"/>
  <c r="AK47" i="21"/>
  <c r="BI47" i="21" s="1"/>
  <c r="M52" i="21"/>
  <c r="AC52" i="21"/>
  <c r="BA52" i="21" s="1"/>
  <c r="BF52" i="21"/>
  <c r="BJ51" i="21"/>
  <c r="S13" i="6"/>
  <c r="R15" i="6"/>
  <c r="Q15" i="6"/>
  <c r="D10" i="6"/>
  <c r="F10" i="6"/>
  <c r="G10" i="6"/>
  <c r="H10" i="6"/>
  <c r="J10" i="6"/>
  <c r="P10" i="6" s="1"/>
  <c r="L10" i="6"/>
  <c r="R10" i="6" s="1"/>
  <c r="M10" i="6"/>
  <c r="N10" i="6"/>
  <c r="E11" i="6"/>
  <c r="C11" i="6" s="1"/>
  <c r="K11" i="6"/>
  <c r="P11" i="6"/>
  <c r="Q11" i="6"/>
  <c r="R11" i="6"/>
  <c r="E12" i="6"/>
  <c r="C12" i="6" s="1"/>
  <c r="I12" i="6"/>
  <c r="K12" i="6"/>
  <c r="P12" i="6"/>
  <c r="R12" i="6"/>
  <c r="E13" i="6"/>
  <c r="C13" i="6" s="1"/>
  <c r="K13" i="6"/>
  <c r="I13" i="6" s="1"/>
  <c r="P13" i="6"/>
  <c r="R13" i="6"/>
  <c r="E14" i="6"/>
  <c r="C14" i="6" s="1"/>
  <c r="K14" i="6"/>
  <c r="I14" i="6" s="1"/>
  <c r="P14" i="6"/>
  <c r="R14" i="6"/>
  <c r="E15" i="6"/>
  <c r="C15" i="6" s="1"/>
  <c r="I15" i="6"/>
  <c r="K15" i="6"/>
  <c r="P15" i="6"/>
  <c r="E16" i="6"/>
  <c r="C16" i="6" s="1"/>
  <c r="K16" i="6"/>
  <c r="I16" i="6" s="1"/>
  <c r="P16" i="6"/>
  <c r="R16" i="6"/>
  <c r="E17" i="6"/>
  <c r="C17" i="6" s="1"/>
  <c r="K17" i="6"/>
  <c r="I17" i="6" s="1"/>
  <c r="O17" i="6" s="1"/>
  <c r="P17" i="6"/>
  <c r="R17" i="6"/>
  <c r="E18" i="6"/>
  <c r="C18" i="6" s="1"/>
  <c r="K18" i="6"/>
  <c r="I18" i="6" s="1"/>
  <c r="P18" i="6"/>
  <c r="Q18" i="6"/>
  <c r="R18" i="6"/>
  <c r="E19" i="6"/>
  <c r="C19" i="6" s="1"/>
  <c r="K19" i="6"/>
  <c r="I19" i="6" s="1"/>
  <c r="P19" i="6"/>
  <c r="R19" i="6"/>
  <c r="E20" i="6"/>
  <c r="C20" i="6" s="1"/>
  <c r="K20" i="6"/>
  <c r="I20" i="6" s="1"/>
  <c r="O20" i="6" s="1"/>
  <c r="P20" i="6"/>
  <c r="R20" i="6"/>
  <c r="AB116" i="16"/>
  <c r="AB113" i="16"/>
  <c r="AD112" i="16"/>
  <c r="AD111" i="16"/>
  <c r="AD110" i="16"/>
  <c r="AD109" i="16"/>
  <c r="AC105" i="16"/>
  <c r="AB105" i="16"/>
  <c r="AC104" i="16"/>
  <c r="AC103" i="16"/>
  <c r="AB103" i="16"/>
  <c r="AC102" i="16"/>
  <c r="AC101" i="16"/>
  <c r="AB101" i="16"/>
  <c r="AC100" i="16"/>
  <c r="AC99" i="16"/>
  <c r="AB99" i="16"/>
  <c r="AC98" i="16"/>
  <c r="AC97" i="16"/>
  <c r="AD90" i="16"/>
  <c r="AD89" i="16"/>
  <c r="AD88" i="16"/>
  <c r="AD87" i="16"/>
  <c r="AD85" i="16"/>
  <c r="AD84" i="16"/>
  <c r="AB78" i="16"/>
  <c r="AD76" i="16"/>
  <c r="AB75" i="16"/>
  <c r="AC74" i="16"/>
  <c r="AD72" i="16"/>
  <c r="AB71" i="16"/>
  <c r="AD70" i="16"/>
  <c r="AD69" i="16"/>
  <c r="AB68" i="16"/>
  <c r="AB67" i="16"/>
  <c r="AD66" i="16"/>
  <c r="AD65" i="16"/>
  <c r="AD64" i="16"/>
  <c r="AB64" i="16"/>
  <c r="AD63" i="16"/>
  <c r="AB63" i="16"/>
  <c r="AD62" i="16"/>
  <c r="AD61" i="16"/>
  <c r="AD60" i="16"/>
  <c r="AB60" i="16"/>
  <c r="AD59" i="16"/>
  <c r="AB59" i="16"/>
  <c r="AD58" i="16"/>
  <c r="AB54" i="16"/>
  <c r="AB52" i="16"/>
  <c r="AB51" i="16"/>
  <c r="AB50" i="16"/>
  <c r="AB49" i="16"/>
  <c r="AD47" i="16"/>
  <c r="AB47" i="16"/>
  <c r="AD45" i="16"/>
  <c r="AD44" i="16"/>
  <c r="AD43" i="16"/>
  <c r="AD41" i="16"/>
  <c r="AB41" i="16"/>
  <c r="AD40" i="16"/>
  <c r="AB40" i="16"/>
  <c r="AD37" i="16"/>
  <c r="AB37" i="16"/>
  <c r="AD36" i="16"/>
  <c r="AC36" i="16"/>
  <c r="AD35" i="16"/>
  <c r="AB35" i="16"/>
  <c r="AD34" i="16"/>
  <c r="AB34" i="16"/>
  <c r="AD32" i="16"/>
  <c r="AD31" i="16"/>
  <c r="AC31" i="16"/>
  <c r="AC30" i="16"/>
  <c r="AD29" i="16"/>
  <c r="AB29" i="16"/>
  <c r="AC27" i="16"/>
  <c r="AD26" i="16"/>
  <c r="AB25" i="16"/>
  <c r="AB24" i="16"/>
  <c r="AC23" i="16"/>
  <c r="AC22" i="16"/>
  <c r="AD21" i="16"/>
  <c r="AC21" i="16"/>
  <c r="AB21" i="16"/>
  <c r="AC20" i="16"/>
  <c r="AD19" i="16"/>
  <c r="AD18" i="16"/>
  <c r="AC16" i="16"/>
  <c r="AD16" i="16"/>
  <c r="AC14" i="16"/>
  <c r="AC13" i="16"/>
  <c r="D37" i="4"/>
  <c r="C37" i="4"/>
  <c r="E37" i="4" s="1"/>
  <c r="E26" i="4"/>
  <c r="E16" i="4"/>
  <c r="E20" i="4"/>
  <c r="E28" i="4"/>
  <c r="E32" i="4"/>
  <c r="E36" i="4"/>
  <c r="E40" i="4"/>
  <c r="E44" i="4"/>
  <c r="E14" i="4"/>
  <c r="E15" i="4"/>
  <c r="E17" i="4"/>
  <c r="E18" i="4"/>
  <c r="E19" i="4"/>
  <c r="E21" i="4"/>
  <c r="E22" i="4"/>
  <c r="E23" i="4"/>
  <c r="E24" i="4"/>
  <c r="E25" i="4"/>
  <c r="E29" i="4"/>
  <c r="E30" i="4"/>
  <c r="E31" i="4"/>
  <c r="E33" i="4"/>
  <c r="E34" i="4"/>
  <c r="E35" i="4"/>
  <c r="E38" i="4"/>
  <c r="E39" i="4"/>
  <c r="E41" i="4"/>
  <c r="E42" i="4"/>
  <c r="E43" i="4"/>
  <c r="E45" i="4"/>
  <c r="BA50" i="21" l="1"/>
  <c r="BA32" i="21"/>
  <c r="AY38" i="21"/>
  <c r="AK13" i="21"/>
  <c r="AZ45" i="21"/>
  <c r="BA46" i="21"/>
  <c r="BP52" i="21"/>
  <c r="BB45" i="21"/>
  <c r="AY36" i="21"/>
  <c r="C46" i="21"/>
  <c r="AY25" i="21"/>
  <c r="T13" i="21"/>
  <c r="T12" i="21" s="1"/>
  <c r="BB21" i="21"/>
  <c r="AA18" i="21"/>
  <c r="AY40" i="21"/>
  <c r="BM13" i="21"/>
  <c r="AA40" i="21"/>
  <c r="BC42" i="21"/>
  <c r="BI52" i="21"/>
  <c r="BA36" i="21"/>
  <c r="BP28" i="21"/>
  <c r="AA44" i="21"/>
  <c r="AY44" i="21" s="1"/>
  <c r="C18" i="21"/>
  <c r="AZ18" i="21"/>
  <c r="BJ42" i="21"/>
  <c r="AA39" i="21"/>
  <c r="AY39" i="21" s="1"/>
  <c r="BA43" i="21"/>
  <c r="AC42" i="21"/>
  <c r="AA24" i="21"/>
  <c r="AY24" i="21" s="1"/>
  <c r="AZ24" i="21"/>
  <c r="BP25" i="21"/>
  <c r="E13" i="21"/>
  <c r="E12" i="21" s="1"/>
  <c r="BA21" i="21"/>
  <c r="AA21" i="21"/>
  <c r="AY21" i="21" s="1"/>
  <c r="AA45" i="21"/>
  <c r="AY45" i="21" s="1"/>
  <c r="BP14" i="21"/>
  <c r="AR13" i="21"/>
  <c r="C35" i="21"/>
  <c r="AY37" i="21"/>
  <c r="BB42" i="21"/>
  <c r="AA52" i="21"/>
  <c r="AY52" i="21" s="1"/>
  <c r="F13" i="21"/>
  <c r="F12" i="21" s="1"/>
  <c r="AA15" i="21"/>
  <c r="BA20" i="21"/>
  <c r="AA20" i="21"/>
  <c r="AY20" i="21" s="1"/>
  <c r="E42" i="21"/>
  <c r="AY35" i="21"/>
  <c r="AA48" i="21"/>
  <c r="AY48" i="21" s="1"/>
  <c r="BT42" i="21"/>
  <c r="BP18" i="21"/>
  <c r="M42" i="21"/>
  <c r="BA14" i="21"/>
  <c r="AC13" i="21"/>
  <c r="AA19" i="21"/>
  <c r="AY19" i="21" s="1"/>
  <c r="AB13" i="21"/>
  <c r="BF12" i="21"/>
  <c r="BP43" i="21"/>
  <c r="AR42" i="21"/>
  <c r="BP42" i="21" s="1"/>
  <c r="D13" i="21"/>
  <c r="C14" i="21"/>
  <c r="C13" i="21" s="1"/>
  <c r="AZ14" i="21"/>
  <c r="AA43" i="21"/>
  <c r="AL12" i="21"/>
  <c r="BJ12" i="21" s="1"/>
  <c r="BJ13" i="21"/>
  <c r="AY26" i="21"/>
  <c r="AY34" i="21"/>
  <c r="AA49" i="21"/>
  <c r="AY49" i="21" s="1"/>
  <c r="AA50" i="21"/>
  <c r="AY50" i="21" s="1"/>
  <c r="BA34" i="21"/>
  <c r="BF42" i="21"/>
  <c r="C43" i="21"/>
  <c r="C42" i="21" s="1"/>
  <c r="D42" i="21"/>
  <c r="AZ42" i="21" s="1"/>
  <c r="BA29" i="21"/>
  <c r="AZ20" i="21"/>
  <c r="N12" i="21"/>
  <c r="AZ16" i="21"/>
  <c r="AA14" i="21"/>
  <c r="C15" i="21"/>
  <c r="AZ15" i="21"/>
  <c r="AY17" i="21"/>
  <c r="AA46" i="21"/>
  <c r="AY46" i="21" s="1"/>
  <c r="M13" i="21"/>
  <c r="M12" i="21" s="1"/>
  <c r="AY16" i="21"/>
  <c r="AY29" i="21"/>
  <c r="BT13" i="21"/>
  <c r="AV12" i="21"/>
  <c r="BT12" i="21" s="1"/>
  <c r="AZ47" i="21"/>
  <c r="AY18" i="21"/>
  <c r="BI44" i="21"/>
  <c r="AY32" i="21"/>
  <c r="BI43" i="21"/>
  <c r="AK42" i="21"/>
  <c r="BI42" i="21" s="1"/>
  <c r="AA51" i="21"/>
  <c r="AY51" i="21" s="1"/>
  <c r="AZ44" i="21"/>
  <c r="BA25" i="21"/>
  <c r="BQ13" i="21"/>
  <c r="AS12" i="21"/>
  <c r="BQ12" i="21" s="1"/>
  <c r="BB14" i="21"/>
  <c r="AD13" i="21"/>
  <c r="AA47" i="21"/>
  <c r="AY47" i="21" s="1"/>
  <c r="Q19" i="6"/>
  <c r="K10" i="6"/>
  <c r="I11" i="6"/>
  <c r="I10" i="6" s="1"/>
  <c r="Q20" i="6"/>
  <c r="Q12" i="6"/>
  <c r="O18" i="6"/>
  <c r="Q16" i="6"/>
  <c r="O15" i="6"/>
  <c r="Q13" i="6"/>
  <c r="Q17" i="6"/>
  <c r="Q14" i="6"/>
  <c r="O13" i="6"/>
  <c r="O12" i="6"/>
  <c r="O14" i="6"/>
  <c r="C10" i="6"/>
  <c r="O16" i="6"/>
  <c r="O19" i="6"/>
  <c r="E10" i="6"/>
  <c r="Q10" i="6" s="1"/>
  <c r="AB100" i="16"/>
  <c r="AB104" i="16"/>
  <c r="AB115" i="16"/>
  <c r="AD83" i="16"/>
  <c r="AB23" i="16"/>
  <c r="AD23" i="16"/>
  <c r="AD27" i="16"/>
  <c r="AB27" i="16"/>
  <c r="AB30" i="16"/>
  <c r="AD30" i="16"/>
  <c r="AB33" i="16"/>
  <c r="AD33" i="16"/>
  <c r="AB42" i="16"/>
  <c r="AD42" i="16"/>
  <c r="AB45" i="16"/>
  <c r="AB48" i="16"/>
  <c r="AD48" i="16"/>
  <c r="AB61" i="16"/>
  <c r="AB36" i="16"/>
  <c r="AB53" i="16"/>
  <c r="AB58" i="16"/>
  <c r="AB66" i="16"/>
  <c r="AB74" i="16"/>
  <c r="AD15" i="16"/>
  <c r="AD17" i="16"/>
  <c r="AB17" i="16"/>
  <c r="AB39" i="16"/>
  <c r="AD39" i="16"/>
  <c r="AB97" i="16"/>
  <c r="AB114" i="16"/>
  <c r="AB22" i="16"/>
  <c r="AD22" i="16"/>
  <c r="AB16" i="16"/>
  <c r="AC12" i="16"/>
  <c r="AB56" i="16"/>
  <c r="AD56" i="16"/>
  <c r="AB65" i="16"/>
  <c r="AB98" i="16"/>
  <c r="AB102" i="16"/>
  <c r="AB118" i="16"/>
  <c r="AD55" i="16"/>
  <c r="AB55" i="16"/>
  <c r="AB20" i="16"/>
  <c r="AB28" i="16"/>
  <c r="AD28" i="16"/>
  <c r="AB38" i="16"/>
  <c r="AD38" i="16"/>
  <c r="AB46" i="16"/>
  <c r="AD46" i="16"/>
  <c r="AB62" i="16"/>
  <c r="AD20" i="16"/>
  <c r="AB26" i="16"/>
  <c r="AB43" i="16"/>
  <c r="AD67" i="16"/>
  <c r="AB69" i="16"/>
  <c r="AB70" i="16"/>
  <c r="AB72" i="16"/>
  <c r="AB76" i="16"/>
  <c r="AD86" i="16"/>
  <c r="AB18" i="16"/>
  <c r="AB19" i="16"/>
  <c r="AD24" i="16"/>
  <c r="AB32" i="16"/>
  <c r="AB44" i="16"/>
  <c r="AD25" i="16"/>
  <c r="AD78" i="16"/>
  <c r="E11" i="4"/>
  <c r="E12" i="4"/>
  <c r="E10" i="4"/>
  <c r="E9" i="4"/>
  <c r="AY15" i="21" l="1"/>
  <c r="AY43" i="21"/>
  <c r="AA42" i="21"/>
  <c r="AY42" i="21" s="1"/>
  <c r="AZ13" i="21"/>
  <c r="AB12" i="21"/>
  <c r="AA13" i="21"/>
  <c r="AY14" i="21"/>
  <c r="BA13" i="21"/>
  <c r="AC12" i="21"/>
  <c r="BA12" i="21" s="1"/>
  <c r="C12" i="21"/>
  <c r="BP13" i="21"/>
  <c r="AR12" i="21"/>
  <c r="BP12" i="21" s="1"/>
  <c r="AK12" i="21"/>
  <c r="BI12" i="21" s="1"/>
  <c r="BB13" i="21"/>
  <c r="AD12" i="21"/>
  <c r="BB12" i="21" s="1"/>
  <c r="D12" i="21"/>
  <c r="BA42" i="21"/>
  <c r="BI13" i="21"/>
  <c r="O11" i="6"/>
  <c r="O10" i="6"/>
  <c r="AB31" i="16"/>
  <c r="E8" i="4"/>
  <c r="AZ12" i="21" l="1"/>
  <c r="AA12" i="21"/>
  <c r="AY12" i="21" s="1"/>
  <c r="AY13" i="21"/>
  <c r="AB15" i="16"/>
  <c r="AD14" i="16"/>
  <c r="AD13" i="16" l="1"/>
  <c r="AD12" i="16"/>
  <c r="AB14" i="16"/>
  <c r="AB13" i="16" l="1"/>
  <c r="AB12" i="16"/>
  <c r="H81" i="2" l="1"/>
  <c r="G81" i="2"/>
  <c r="H80" i="2"/>
  <c r="G80" i="2"/>
  <c r="H77" i="2"/>
  <c r="G77" i="2"/>
  <c r="H76" i="2"/>
  <c r="G76" i="2"/>
  <c r="H75" i="2"/>
  <c r="G75" i="2"/>
  <c r="H74" i="2"/>
  <c r="G74" i="2"/>
  <c r="H73" i="2"/>
  <c r="G73" i="2"/>
  <c r="H72" i="2"/>
  <c r="G72" i="2"/>
  <c r="H71" i="2"/>
  <c r="G71" i="2"/>
  <c r="H70" i="2"/>
  <c r="G70" i="2"/>
  <c r="H69" i="2"/>
  <c r="G69" i="2"/>
  <c r="H68" i="2"/>
  <c r="G68" i="2"/>
  <c r="H67" i="2"/>
  <c r="G67" i="2"/>
  <c r="H66" i="2"/>
  <c r="G66" i="2"/>
  <c r="H57" i="2"/>
  <c r="G57" i="2"/>
  <c r="H56" i="2"/>
  <c r="G56" i="2"/>
  <c r="H55" i="2"/>
  <c r="G55" i="2"/>
  <c r="H54" i="2"/>
  <c r="G54" i="2"/>
  <c r="H53" i="2"/>
  <c r="G53" i="2"/>
  <c r="H52" i="2"/>
  <c r="G52" i="2"/>
  <c r="H51" i="2"/>
  <c r="G51" i="2"/>
  <c r="H50" i="2"/>
  <c r="G50" i="2"/>
  <c r="H49" i="2"/>
  <c r="G49" i="2"/>
  <c r="H48" i="2"/>
  <c r="G48" i="2"/>
  <c r="H47" i="2"/>
  <c r="G47" i="2"/>
  <c r="H46" i="2"/>
  <c r="G46" i="2"/>
  <c r="H45" i="2"/>
  <c r="G45" i="2"/>
  <c r="H44" i="2"/>
  <c r="G44" i="2"/>
  <c r="H43" i="2"/>
  <c r="G43" i="2"/>
  <c r="H42" i="2"/>
  <c r="G42" i="2"/>
  <c r="H41" i="2"/>
  <c r="G41" i="2"/>
  <c r="H40" i="2"/>
  <c r="G40" i="2"/>
  <c r="H39" i="2"/>
  <c r="G39" i="2"/>
  <c r="H38" i="2"/>
  <c r="G38" i="2"/>
  <c r="H37" i="2"/>
  <c r="G37" i="2"/>
  <c r="H36" i="2"/>
  <c r="G36" i="2"/>
  <c r="H35" i="2"/>
  <c r="G35" i="2"/>
  <c r="H34" i="2"/>
  <c r="G34" i="2"/>
  <c r="H33" i="2"/>
  <c r="G33" i="2"/>
  <c r="H32" i="2"/>
  <c r="G32" i="2"/>
  <c r="H31" i="2"/>
  <c r="G31" i="2"/>
  <c r="H30" i="2"/>
  <c r="G30" i="2"/>
  <c r="H29" i="2"/>
  <c r="G29" i="2"/>
  <c r="H28" i="2"/>
  <c r="G28" i="2"/>
  <c r="H27" i="2"/>
  <c r="G27" i="2"/>
  <c r="H26" i="2"/>
  <c r="G26" i="2"/>
  <c r="H25" i="2"/>
  <c r="G25" i="2"/>
  <c r="H24" i="2"/>
  <c r="G24" i="2"/>
  <c r="H23" i="2"/>
  <c r="G23" i="2"/>
  <c r="H22" i="2"/>
  <c r="G22" i="2"/>
  <c r="H21" i="2"/>
  <c r="G21" i="2"/>
  <c r="H20" i="2"/>
  <c r="G20" i="2"/>
  <c r="H19" i="2"/>
  <c r="G19" i="2"/>
  <c r="H18" i="2"/>
  <c r="G18" i="2"/>
  <c r="H17" i="2"/>
  <c r="G17" i="2"/>
  <c r="H16" i="2"/>
  <c r="G16" i="2"/>
  <c r="H15" i="2"/>
  <c r="G15" i="2"/>
  <c r="H14" i="2"/>
  <c r="G14" i="2"/>
  <c r="H13" i="2"/>
  <c r="G13" i="2"/>
  <c r="H12" i="2"/>
  <c r="G12" i="2"/>
  <c r="H11" i="2"/>
  <c r="G11" i="2"/>
  <c r="H10" i="2"/>
  <c r="G10" i="2"/>
  <c r="H9" i="2"/>
  <c r="G9" i="2"/>
  <c r="K60" i="3"/>
  <c r="J60" i="3"/>
  <c r="I60" i="3"/>
  <c r="K59" i="3"/>
  <c r="J59" i="3"/>
  <c r="I59" i="3"/>
  <c r="K58" i="3"/>
  <c r="J58" i="3"/>
  <c r="I58" i="3"/>
  <c r="K57" i="3"/>
  <c r="J57" i="3"/>
  <c r="I57" i="3"/>
  <c r="K56" i="3"/>
  <c r="J56" i="3"/>
  <c r="I56" i="3"/>
  <c r="K55" i="3"/>
  <c r="J55" i="3"/>
  <c r="I55" i="3"/>
  <c r="K54" i="3"/>
  <c r="J54" i="3"/>
  <c r="I54" i="3"/>
  <c r="K53" i="3"/>
  <c r="J53" i="3"/>
  <c r="I53" i="3"/>
  <c r="K52" i="3"/>
  <c r="J52" i="3"/>
  <c r="I52" i="3"/>
  <c r="K51" i="3"/>
  <c r="J51" i="3"/>
  <c r="I51" i="3"/>
  <c r="K50" i="3"/>
  <c r="J50" i="3"/>
  <c r="I50" i="3"/>
  <c r="K39" i="3"/>
  <c r="J39" i="3"/>
  <c r="I39" i="3"/>
  <c r="K38" i="3"/>
  <c r="J38" i="3"/>
  <c r="I38" i="3"/>
  <c r="K36" i="3"/>
  <c r="J36" i="3"/>
  <c r="I36" i="3"/>
  <c r="K35" i="3"/>
  <c r="J35" i="3"/>
  <c r="I35" i="3"/>
  <c r="K34" i="3"/>
  <c r="J34" i="3"/>
  <c r="I34" i="3"/>
  <c r="K33" i="3"/>
  <c r="J33" i="3"/>
  <c r="I33" i="3"/>
  <c r="K32" i="3"/>
  <c r="J32" i="3"/>
  <c r="I32" i="3"/>
  <c r="K31" i="3"/>
  <c r="J31" i="3"/>
  <c r="I31" i="3"/>
  <c r="K30" i="3"/>
  <c r="J30" i="3"/>
  <c r="I30" i="3"/>
  <c r="J29" i="3"/>
  <c r="K28" i="3"/>
  <c r="J28" i="3"/>
  <c r="I28" i="3"/>
  <c r="K27" i="3"/>
  <c r="J27" i="3"/>
  <c r="I27" i="3"/>
  <c r="K26" i="3"/>
  <c r="J26" i="3"/>
  <c r="I26" i="3"/>
  <c r="K25" i="3"/>
  <c r="J25" i="3"/>
  <c r="I25" i="3"/>
  <c r="K24" i="3"/>
  <c r="J24" i="3"/>
  <c r="I24" i="3"/>
  <c r="K23" i="3"/>
  <c r="J23" i="3"/>
  <c r="I23" i="3"/>
  <c r="K22" i="3"/>
  <c r="J22" i="3"/>
  <c r="I22" i="3"/>
  <c r="K21" i="3"/>
  <c r="J21" i="3"/>
  <c r="I21" i="3"/>
  <c r="K20" i="3"/>
  <c r="J20" i="3"/>
  <c r="I20" i="3"/>
  <c r="K18" i="3"/>
  <c r="J18" i="3"/>
  <c r="I18" i="3"/>
  <c r="K17" i="3"/>
  <c r="J17" i="3"/>
  <c r="I17" i="3"/>
  <c r="K16" i="3"/>
  <c r="J16" i="3"/>
  <c r="I16" i="3"/>
  <c r="K15" i="3"/>
  <c r="J15" i="3"/>
  <c r="I15" i="3"/>
  <c r="K14" i="3"/>
  <c r="J14" i="3"/>
  <c r="I14" i="3"/>
  <c r="K13" i="3"/>
  <c r="J13" i="3"/>
  <c r="I13" i="3"/>
  <c r="K12" i="3"/>
  <c r="J12" i="3"/>
  <c r="I12" i="3"/>
  <c r="K11" i="3"/>
  <c r="J11" i="3"/>
  <c r="I11" i="3"/>
  <c r="K10" i="3"/>
  <c r="J10" i="3"/>
  <c r="I10" i="3"/>
  <c r="K9" i="3"/>
  <c r="J9" i="3"/>
  <c r="I9" i="3"/>
  <c r="K8" i="3"/>
  <c r="J8" i="3"/>
  <c r="I8" i="3"/>
  <c r="D42" i="1"/>
  <c r="C42" i="1"/>
  <c r="E23" i="18" l="1"/>
  <c r="F23" i="18"/>
  <c r="E29" i="1" l="1"/>
  <c r="E30" i="1"/>
  <c r="E31" i="1"/>
  <c r="E32" i="1"/>
  <c r="D23" i="1"/>
  <c r="D22" i="1" s="1"/>
  <c r="C23" i="1"/>
  <c r="C22" i="1" s="1"/>
  <c r="D33" i="1"/>
  <c r="AA118" i="19"/>
  <c r="N118" i="19" s="1"/>
  <c r="U118" i="19"/>
  <c r="K118" i="19"/>
  <c r="C118" i="19" s="1"/>
  <c r="X117" i="19"/>
  <c r="U117" i="19"/>
  <c r="K117" i="19"/>
  <c r="C117" i="19"/>
  <c r="U116" i="19"/>
  <c r="K116" i="19"/>
  <c r="N115" i="19"/>
  <c r="C115" i="19"/>
  <c r="N114" i="19"/>
  <c r="C114" i="19"/>
  <c r="X113" i="19"/>
  <c r="U113" i="19"/>
  <c r="N113" i="19"/>
  <c r="K113" i="19"/>
  <c r="C113" i="19"/>
  <c r="X112" i="19"/>
  <c r="U112" i="19"/>
  <c r="T112" i="19"/>
  <c r="P112" i="19"/>
  <c r="K112" i="19"/>
  <c r="C112" i="19"/>
  <c r="X111" i="19"/>
  <c r="U111" i="19"/>
  <c r="S111" i="19"/>
  <c r="K111" i="19"/>
  <c r="C111" i="19" s="1"/>
  <c r="AC110" i="19"/>
  <c r="E110" i="19"/>
  <c r="F109" i="19"/>
  <c r="E108" i="19"/>
  <c r="AD108" i="19" s="1"/>
  <c r="E107" i="19"/>
  <c r="C107" i="19"/>
  <c r="E106" i="19"/>
  <c r="C106" i="19"/>
  <c r="E105" i="19"/>
  <c r="E104" i="19"/>
  <c r="K102" i="19"/>
  <c r="C102" i="19"/>
  <c r="AC101" i="19"/>
  <c r="X101" i="19"/>
  <c r="U101" i="19"/>
  <c r="N101" i="19"/>
  <c r="K101" i="19"/>
  <c r="C101" i="19"/>
  <c r="AC100" i="19"/>
  <c r="X100" i="19"/>
  <c r="U100" i="19"/>
  <c r="K100" i="19"/>
  <c r="AC99" i="19"/>
  <c r="X99" i="19"/>
  <c r="U99" i="19"/>
  <c r="K99" i="19"/>
  <c r="AC98" i="19"/>
  <c r="X98" i="19"/>
  <c r="U98" i="19"/>
  <c r="K98" i="19"/>
  <c r="AC97" i="19"/>
  <c r="X97" i="19"/>
  <c r="U97" i="19"/>
  <c r="K97" i="19"/>
  <c r="AC96" i="19"/>
  <c r="X96" i="19"/>
  <c r="U96" i="19"/>
  <c r="K96" i="19"/>
  <c r="AC95" i="19"/>
  <c r="X95" i="19"/>
  <c r="U95" i="19"/>
  <c r="N95" i="19"/>
  <c r="K95" i="19"/>
  <c r="C95" i="19" s="1"/>
  <c r="AC94" i="19"/>
  <c r="X94" i="19"/>
  <c r="U94" i="19"/>
  <c r="K94" i="19"/>
  <c r="C94" i="19"/>
  <c r="AC93" i="19"/>
  <c r="X93" i="19"/>
  <c r="U93" i="19"/>
  <c r="N93" i="19"/>
  <c r="K93" i="19"/>
  <c r="C93" i="19"/>
  <c r="AC92" i="19"/>
  <c r="X92" i="19"/>
  <c r="U92" i="19"/>
  <c r="K92" i="19"/>
  <c r="AC91" i="19"/>
  <c r="Z91" i="19"/>
  <c r="Y91" i="19"/>
  <c r="V91" i="19"/>
  <c r="O91" i="19"/>
  <c r="M91" i="19"/>
  <c r="L91" i="19"/>
  <c r="J91" i="19"/>
  <c r="I91" i="19"/>
  <c r="E91" i="19"/>
  <c r="D91" i="19"/>
  <c r="U90" i="19"/>
  <c r="R90" i="19"/>
  <c r="P90" i="19"/>
  <c r="O90" i="19"/>
  <c r="K90" i="19"/>
  <c r="E90" i="19"/>
  <c r="P89" i="19"/>
  <c r="E89" i="19"/>
  <c r="U88" i="19"/>
  <c r="P88" i="19"/>
  <c r="K88" i="19"/>
  <c r="E88" i="19"/>
  <c r="U87" i="19"/>
  <c r="P87" i="19"/>
  <c r="K87" i="19"/>
  <c r="E87" i="19"/>
  <c r="U86" i="19"/>
  <c r="P86" i="19"/>
  <c r="K86" i="19"/>
  <c r="E86" i="19"/>
  <c r="U85" i="19"/>
  <c r="N85" i="19" s="1"/>
  <c r="P85" i="19"/>
  <c r="K85" i="19"/>
  <c r="E85" i="19"/>
  <c r="U84" i="19"/>
  <c r="P84" i="19"/>
  <c r="N84" i="19"/>
  <c r="K84" i="19"/>
  <c r="E84" i="19"/>
  <c r="U83" i="19"/>
  <c r="P83" i="19"/>
  <c r="K83" i="19"/>
  <c r="H83" i="19"/>
  <c r="U82" i="19"/>
  <c r="P82" i="19"/>
  <c r="K82" i="19"/>
  <c r="E82" i="19"/>
  <c r="C82" i="19"/>
  <c r="U81" i="19"/>
  <c r="P81" i="19"/>
  <c r="K81" i="19"/>
  <c r="E81" i="19"/>
  <c r="U80" i="19"/>
  <c r="R80" i="19"/>
  <c r="P80" i="19" s="1"/>
  <c r="K80" i="19"/>
  <c r="E80" i="19"/>
  <c r="AC79" i="19"/>
  <c r="U79" i="19"/>
  <c r="P79" i="19"/>
  <c r="N79" i="19"/>
  <c r="K79" i="19"/>
  <c r="E79" i="19"/>
  <c r="AC78" i="19"/>
  <c r="U78" i="19"/>
  <c r="P78" i="19"/>
  <c r="K78" i="19"/>
  <c r="E78" i="19"/>
  <c r="AC77" i="19"/>
  <c r="U77" i="19"/>
  <c r="N77" i="19" s="1"/>
  <c r="P77" i="19"/>
  <c r="K77" i="19"/>
  <c r="E77" i="19"/>
  <c r="AC76" i="19"/>
  <c r="U76" i="19"/>
  <c r="P76" i="19"/>
  <c r="K76" i="19"/>
  <c r="E76" i="19"/>
  <c r="AC75" i="19"/>
  <c r="U75" i="19"/>
  <c r="P75" i="19"/>
  <c r="K75" i="19"/>
  <c r="E75" i="19"/>
  <c r="AC74" i="19"/>
  <c r="U74" i="19"/>
  <c r="P74" i="19"/>
  <c r="N74" i="19"/>
  <c r="K74" i="19"/>
  <c r="E74" i="19"/>
  <c r="AC73" i="19"/>
  <c r="U73" i="19"/>
  <c r="P73" i="19"/>
  <c r="K73" i="19"/>
  <c r="E73" i="19"/>
  <c r="AC72" i="19"/>
  <c r="U72" i="19"/>
  <c r="P72" i="19"/>
  <c r="N72" i="19" s="1"/>
  <c r="K72" i="19"/>
  <c r="E72" i="19"/>
  <c r="AC71" i="19"/>
  <c r="U71" i="19"/>
  <c r="P71" i="19"/>
  <c r="K71" i="19"/>
  <c r="C71" i="19" s="1"/>
  <c r="E71" i="19"/>
  <c r="AC70" i="19"/>
  <c r="U70" i="19"/>
  <c r="P70" i="19"/>
  <c r="K70" i="19"/>
  <c r="E70" i="19"/>
  <c r="AC69" i="19"/>
  <c r="U69" i="19"/>
  <c r="P69" i="19"/>
  <c r="K69" i="19"/>
  <c r="E69" i="19"/>
  <c r="AC68" i="19"/>
  <c r="U68" i="19"/>
  <c r="P68" i="19"/>
  <c r="K68" i="19"/>
  <c r="E68" i="19"/>
  <c r="AC67" i="19"/>
  <c r="U67" i="19"/>
  <c r="P67" i="19"/>
  <c r="K67" i="19"/>
  <c r="E67" i="19"/>
  <c r="U66" i="19"/>
  <c r="P66" i="19"/>
  <c r="K66" i="19"/>
  <c r="E66" i="19"/>
  <c r="U65" i="19"/>
  <c r="P65" i="19"/>
  <c r="K65" i="19"/>
  <c r="E65" i="19"/>
  <c r="U64" i="19"/>
  <c r="P64" i="19"/>
  <c r="K64" i="19"/>
  <c r="E64" i="19"/>
  <c r="U63" i="19"/>
  <c r="P63" i="19"/>
  <c r="K63" i="19"/>
  <c r="E63" i="19"/>
  <c r="U62" i="19"/>
  <c r="P62" i="19"/>
  <c r="K62" i="19"/>
  <c r="E62" i="19"/>
  <c r="U61" i="19"/>
  <c r="P61" i="19"/>
  <c r="K61" i="19"/>
  <c r="E61" i="19"/>
  <c r="C61" i="19"/>
  <c r="U60" i="19"/>
  <c r="P60" i="19"/>
  <c r="K60" i="19"/>
  <c r="E60" i="19"/>
  <c r="U59" i="19"/>
  <c r="P59" i="19"/>
  <c r="K59" i="19"/>
  <c r="E59" i="19"/>
  <c r="U58" i="19"/>
  <c r="P58" i="19"/>
  <c r="K58" i="19"/>
  <c r="E58" i="19"/>
  <c r="U57" i="19"/>
  <c r="P57" i="19"/>
  <c r="K57" i="19"/>
  <c r="E57" i="19"/>
  <c r="U56" i="19"/>
  <c r="P56" i="19"/>
  <c r="K56" i="19"/>
  <c r="E56" i="19"/>
  <c r="U55" i="19"/>
  <c r="Q55" i="19"/>
  <c r="K55" i="19"/>
  <c r="E55" i="19"/>
  <c r="U54" i="19"/>
  <c r="P54" i="19"/>
  <c r="K54" i="19"/>
  <c r="E54" i="19"/>
  <c r="U53" i="19"/>
  <c r="P53" i="19"/>
  <c r="N53" i="19"/>
  <c r="K53" i="19"/>
  <c r="E53" i="19"/>
  <c r="U52" i="19"/>
  <c r="P52" i="19"/>
  <c r="K52" i="19"/>
  <c r="E52" i="19"/>
  <c r="U51" i="19"/>
  <c r="P51" i="19"/>
  <c r="K51" i="19"/>
  <c r="E51" i="19"/>
  <c r="U50" i="19"/>
  <c r="P50" i="19"/>
  <c r="K50" i="19"/>
  <c r="E50" i="19"/>
  <c r="AD50" i="19" s="1"/>
  <c r="U49" i="19"/>
  <c r="P49" i="19"/>
  <c r="N49" i="19"/>
  <c r="K49" i="19"/>
  <c r="E49" i="19"/>
  <c r="U48" i="19"/>
  <c r="P48" i="19"/>
  <c r="K48" i="19"/>
  <c r="E48" i="19"/>
  <c r="U47" i="19"/>
  <c r="P47" i="19"/>
  <c r="K47" i="19"/>
  <c r="E47" i="19"/>
  <c r="U46" i="19"/>
  <c r="P46" i="19"/>
  <c r="K46" i="19"/>
  <c r="E46" i="19"/>
  <c r="U45" i="19"/>
  <c r="P45" i="19"/>
  <c r="N45" i="19"/>
  <c r="K45" i="19"/>
  <c r="E45" i="19"/>
  <c r="AC44" i="19"/>
  <c r="U44" i="19"/>
  <c r="P44" i="19"/>
  <c r="K44" i="19"/>
  <c r="H44" i="19"/>
  <c r="AC43" i="19"/>
  <c r="U43" i="19"/>
  <c r="Q43" i="19"/>
  <c r="P43" i="19" s="1"/>
  <c r="N43" i="19" s="1"/>
  <c r="AB43" i="19" s="1"/>
  <c r="K43" i="19"/>
  <c r="H43" i="19"/>
  <c r="E43" i="19" s="1"/>
  <c r="C43" i="19" s="1"/>
  <c r="F43" i="19"/>
  <c r="U42" i="19"/>
  <c r="P42" i="19"/>
  <c r="K42" i="19"/>
  <c r="E42" i="19"/>
  <c r="U41" i="19"/>
  <c r="Q41" i="19"/>
  <c r="K41" i="19"/>
  <c r="E41" i="19"/>
  <c r="C41" i="19"/>
  <c r="U40" i="19"/>
  <c r="Q40" i="19"/>
  <c r="P40" i="19" s="1"/>
  <c r="N40" i="19" s="1"/>
  <c r="K40" i="19"/>
  <c r="E40" i="19"/>
  <c r="U39" i="19"/>
  <c r="P39" i="19"/>
  <c r="K39" i="19"/>
  <c r="E39" i="19"/>
  <c r="AC38" i="19"/>
  <c r="U38" i="19"/>
  <c r="Q38" i="19"/>
  <c r="K38" i="19"/>
  <c r="E38" i="19"/>
  <c r="AD37" i="19"/>
  <c r="U37" i="19"/>
  <c r="P37" i="19"/>
  <c r="K37" i="19"/>
  <c r="E37" i="19"/>
  <c r="AC36" i="19"/>
  <c r="Q36" i="19"/>
  <c r="K36" i="19"/>
  <c r="E36" i="19"/>
  <c r="U35" i="19"/>
  <c r="P35" i="19"/>
  <c r="K35" i="19"/>
  <c r="E35" i="19"/>
  <c r="U34" i="19"/>
  <c r="P34" i="19"/>
  <c r="K34" i="19"/>
  <c r="F34" i="19"/>
  <c r="AD33" i="19"/>
  <c r="U33" i="19"/>
  <c r="P33" i="19"/>
  <c r="N33" i="19" s="1"/>
  <c r="K33" i="19"/>
  <c r="E33" i="19"/>
  <c r="U32" i="19"/>
  <c r="Q32" i="19"/>
  <c r="P32" i="19"/>
  <c r="N32" i="19" s="1"/>
  <c r="K32" i="19"/>
  <c r="E32" i="19"/>
  <c r="C32" i="19"/>
  <c r="U31" i="19"/>
  <c r="P31" i="19"/>
  <c r="N31" i="19"/>
  <c r="K31" i="19"/>
  <c r="H31" i="19"/>
  <c r="AC30" i="19"/>
  <c r="U30" i="19"/>
  <c r="Q30" i="19"/>
  <c r="P30" i="19"/>
  <c r="K30" i="19"/>
  <c r="E30" i="19"/>
  <c r="AC29" i="19"/>
  <c r="U29" i="19"/>
  <c r="Q29" i="19"/>
  <c r="P29" i="19"/>
  <c r="K29" i="19"/>
  <c r="E29" i="19"/>
  <c r="U28" i="19"/>
  <c r="Q28" i="19"/>
  <c r="P28" i="19"/>
  <c r="N28" i="19" s="1"/>
  <c r="O28" i="19"/>
  <c r="K28" i="19"/>
  <c r="E28" i="19"/>
  <c r="D28" i="19"/>
  <c r="U27" i="19"/>
  <c r="Q27" i="19"/>
  <c r="K27" i="19"/>
  <c r="E27" i="19"/>
  <c r="AC26" i="19"/>
  <c r="U26" i="19"/>
  <c r="Q26" i="19"/>
  <c r="P26" i="19"/>
  <c r="N26" i="19" s="1"/>
  <c r="K26" i="19"/>
  <c r="E26" i="19"/>
  <c r="AC25" i="19"/>
  <c r="U25" i="19"/>
  <c r="Q25" i="19"/>
  <c r="K25" i="19"/>
  <c r="E25" i="19"/>
  <c r="U24" i="19"/>
  <c r="P24" i="19"/>
  <c r="O24" i="19"/>
  <c r="N24" i="19" s="1"/>
  <c r="K24" i="19"/>
  <c r="E24" i="19"/>
  <c r="U23" i="19"/>
  <c r="Q23" i="19"/>
  <c r="K23" i="19"/>
  <c r="E23" i="19"/>
  <c r="C23" i="19"/>
  <c r="AC22" i="19"/>
  <c r="U22" i="19"/>
  <c r="Q22" i="19"/>
  <c r="P22" i="19"/>
  <c r="K22" i="19"/>
  <c r="H22" i="19"/>
  <c r="AC21" i="19"/>
  <c r="U21" i="19"/>
  <c r="Q21" i="19"/>
  <c r="K21" i="19"/>
  <c r="E21" i="19"/>
  <c r="U20" i="19"/>
  <c r="R20" i="19"/>
  <c r="Q20" i="19"/>
  <c r="K20" i="19"/>
  <c r="G20" i="19"/>
  <c r="E20" i="19"/>
  <c r="C20" i="19" s="1"/>
  <c r="D20" i="19"/>
  <c r="AC19" i="19"/>
  <c r="U19" i="19"/>
  <c r="Q19" i="19"/>
  <c r="K19" i="19"/>
  <c r="H19" i="19"/>
  <c r="E19" i="19"/>
  <c r="AC18" i="19"/>
  <c r="U18" i="19"/>
  <c r="Q18" i="19"/>
  <c r="P18" i="19"/>
  <c r="N18" i="19" s="1"/>
  <c r="K18" i="19"/>
  <c r="E18" i="19"/>
  <c r="C18" i="19"/>
  <c r="AC17" i="19"/>
  <c r="U17" i="19"/>
  <c r="Q17" i="19"/>
  <c r="K17" i="19"/>
  <c r="E17" i="19"/>
  <c r="U16" i="19"/>
  <c r="Q16" i="19"/>
  <c r="P16" i="19"/>
  <c r="K16" i="19"/>
  <c r="E16" i="19"/>
  <c r="AC15" i="19"/>
  <c r="U15" i="19"/>
  <c r="Q15" i="19"/>
  <c r="P15" i="19"/>
  <c r="K15" i="19"/>
  <c r="H15" i="19"/>
  <c r="E15" i="19" s="1"/>
  <c r="AC14" i="19"/>
  <c r="U14" i="19"/>
  <c r="U13" i="19" s="1"/>
  <c r="Q14" i="19"/>
  <c r="K14" i="19"/>
  <c r="E14" i="19"/>
  <c r="Z13" i="19"/>
  <c r="Z12" i="19" s="1"/>
  <c r="Z11" i="19" s="1"/>
  <c r="Y13" i="19"/>
  <c r="Y12" i="19" s="1"/>
  <c r="Y11" i="19" s="1"/>
  <c r="X13" i="19"/>
  <c r="W13" i="19"/>
  <c r="W12" i="19" s="1"/>
  <c r="W11" i="19" s="1"/>
  <c r="V13" i="19"/>
  <c r="T13" i="19"/>
  <c r="T12" i="19" s="1"/>
  <c r="S13" i="19"/>
  <c r="S12" i="19" s="1"/>
  <c r="S11" i="19" s="1"/>
  <c r="M13" i="19"/>
  <c r="M12" i="19" s="1"/>
  <c r="M11" i="19" s="1"/>
  <c r="L13" i="19"/>
  <c r="L12" i="19" s="1"/>
  <c r="J13" i="19"/>
  <c r="J12" i="19" s="1"/>
  <c r="J11" i="19" s="1"/>
  <c r="I13" i="19"/>
  <c r="I12" i="19" s="1"/>
  <c r="I11" i="19" s="1"/>
  <c r="AA11" i="19"/>
  <c r="F48" i="18"/>
  <c r="E48" i="18"/>
  <c r="F47" i="18"/>
  <c r="E47" i="18"/>
  <c r="F45" i="18"/>
  <c r="E45" i="18"/>
  <c r="D44" i="18"/>
  <c r="F43" i="18"/>
  <c r="E43" i="18"/>
  <c r="F42" i="18"/>
  <c r="E42" i="18"/>
  <c r="F41" i="18"/>
  <c r="E41" i="18"/>
  <c r="D40" i="18"/>
  <c r="E40" i="18" s="1"/>
  <c r="F39" i="18"/>
  <c r="C39" i="18"/>
  <c r="D38" i="18"/>
  <c r="D27" i="18" s="1"/>
  <c r="C38" i="18"/>
  <c r="C37" i="18"/>
  <c r="F37" i="18" s="1"/>
  <c r="C36" i="18"/>
  <c r="F36" i="18" s="1"/>
  <c r="C35" i="18"/>
  <c r="F34" i="18"/>
  <c r="E34" i="18"/>
  <c r="F33" i="18"/>
  <c r="E33" i="18"/>
  <c r="F32" i="18"/>
  <c r="E32" i="18"/>
  <c r="F31" i="18"/>
  <c r="E31" i="18"/>
  <c r="C30" i="18"/>
  <c r="F30" i="18" s="1"/>
  <c r="C29" i="18"/>
  <c r="F29" i="18" s="1"/>
  <c r="C28" i="18"/>
  <c r="F28" i="18" s="1"/>
  <c r="F26" i="18"/>
  <c r="E26" i="18"/>
  <c r="F25" i="18"/>
  <c r="E25" i="18"/>
  <c r="F24" i="18"/>
  <c r="E24" i="18"/>
  <c r="F22" i="18"/>
  <c r="E22" i="18"/>
  <c r="F21" i="18"/>
  <c r="E21" i="18"/>
  <c r="F19" i="18"/>
  <c r="E19" i="18"/>
  <c r="F18" i="18"/>
  <c r="E18" i="18"/>
  <c r="F17" i="18"/>
  <c r="E17" i="18"/>
  <c r="F16" i="18"/>
  <c r="E16" i="18"/>
  <c r="F15" i="18"/>
  <c r="E15" i="18"/>
  <c r="J14" i="18"/>
  <c r="F14" i="18"/>
  <c r="E14" i="18"/>
  <c r="F13" i="18"/>
  <c r="E13" i="18"/>
  <c r="C12" i="18"/>
  <c r="D9" i="18"/>
  <c r="E9" i="18" s="1"/>
  <c r="K107" i="17"/>
  <c r="J107" i="17"/>
  <c r="I107" i="17"/>
  <c r="K106" i="17"/>
  <c r="J106" i="17"/>
  <c r="I106" i="17"/>
  <c r="J105" i="17"/>
  <c r="K105" i="17"/>
  <c r="I105" i="17"/>
  <c r="J104" i="17"/>
  <c r="I104" i="17"/>
  <c r="K104" i="17"/>
  <c r="J103" i="17"/>
  <c r="K103" i="17"/>
  <c r="I103" i="17"/>
  <c r="J102" i="17"/>
  <c r="I102" i="17"/>
  <c r="K102" i="17"/>
  <c r="J101" i="17"/>
  <c r="K101" i="17"/>
  <c r="I101" i="17"/>
  <c r="J100" i="17"/>
  <c r="I100" i="17"/>
  <c r="K100" i="17"/>
  <c r="J99" i="17"/>
  <c r="K99" i="17"/>
  <c r="I99" i="17"/>
  <c r="J98" i="17"/>
  <c r="I98" i="17"/>
  <c r="K98" i="17"/>
  <c r="J97" i="17"/>
  <c r="K97" i="17"/>
  <c r="I97" i="17"/>
  <c r="J96" i="17"/>
  <c r="I96" i="17"/>
  <c r="K96" i="17"/>
  <c r="J95" i="17"/>
  <c r="I95" i="17"/>
  <c r="J94" i="17"/>
  <c r="K94" i="17"/>
  <c r="I94" i="17"/>
  <c r="J93" i="17"/>
  <c r="I93" i="17"/>
  <c r="J92" i="17"/>
  <c r="K92" i="17"/>
  <c r="I92" i="17"/>
  <c r="J91" i="17"/>
  <c r="I91" i="17"/>
  <c r="J90" i="17"/>
  <c r="I90" i="17"/>
  <c r="J89" i="17"/>
  <c r="I89" i="17"/>
  <c r="K89" i="17"/>
  <c r="J88" i="17"/>
  <c r="K88" i="17"/>
  <c r="I88" i="17"/>
  <c r="J87" i="17"/>
  <c r="I87" i="17"/>
  <c r="I85" i="17"/>
  <c r="K87" i="17"/>
  <c r="J86" i="17"/>
  <c r="K86" i="17"/>
  <c r="I86" i="17"/>
  <c r="K85" i="17"/>
  <c r="J85" i="17"/>
  <c r="J84" i="17"/>
  <c r="K84" i="17"/>
  <c r="J83" i="17"/>
  <c r="I83" i="17"/>
  <c r="K83" i="17"/>
  <c r="J82" i="17"/>
  <c r="K82" i="17"/>
  <c r="I82" i="17"/>
  <c r="J80" i="17"/>
  <c r="I80" i="17"/>
  <c r="J79" i="17"/>
  <c r="K79" i="17"/>
  <c r="I79" i="17"/>
  <c r="J78" i="17"/>
  <c r="I78" i="17"/>
  <c r="K78" i="17"/>
  <c r="J77" i="17"/>
  <c r="I77" i="17"/>
  <c r="J76" i="17"/>
  <c r="K76" i="17"/>
  <c r="I76" i="17"/>
  <c r="J74" i="17"/>
  <c r="K74" i="17"/>
  <c r="I74" i="17"/>
  <c r="J73" i="17"/>
  <c r="I73" i="17"/>
  <c r="K73" i="17"/>
  <c r="J72" i="17"/>
  <c r="K72" i="17"/>
  <c r="I72" i="17"/>
  <c r="J71" i="17"/>
  <c r="I71" i="17"/>
  <c r="K71" i="17"/>
  <c r="J70" i="17"/>
  <c r="I70" i="17"/>
  <c r="I37" i="17"/>
  <c r="K37" i="17"/>
  <c r="I36" i="17"/>
  <c r="K35" i="17"/>
  <c r="J35" i="17"/>
  <c r="I35" i="17"/>
  <c r="K34" i="17"/>
  <c r="J34" i="17"/>
  <c r="I34" i="17"/>
  <c r="J33" i="17"/>
  <c r="I33" i="17"/>
  <c r="I32" i="17"/>
  <c r="J31" i="17"/>
  <c r="I31" i="17"/>
  <c r="J30" i="17"/>
  <c r="K30" i="17"/>
  <c r="J29" i="17"/>
  <c r="I29" i="17"/>
  <c r="J28" i="17"/>
  <c r="J27" i="17"/>
  <c r="I27" i="17"/>
  <c r="K27" i="17"/>
  <c r="J26" i="17"/>
  <c r="K26" i="17"/>
  <c r="I26" i="17"/>
  <c r="J25" i="17"/>
  <c r="I25" i="17"/>
  <c r="K25" i="17"/>
  <c r="J24" i="17"/>
  <c r="I24" i="17"/>
  <c r="J23" i="17"/>
  <c r="K22" i="17"/>
  <c r="J22" i="17"/>
  <c r="I22" i="17"/>
  <c r="I21" i="17"/>
  <c r="J20" i="17"/>
  <c r="K20" i="17"/>
  <c r="I20" i="17"/>
  <c r="J19" i="17"/>
  <c r="J18" i="17"/>
  <c r="K18" i="17"/>
  <c r="I18" i="17"/>
  <c r="J17" i="17"/>
  <c r="J16" i="17"/>
  <c r="J15" i="17"/>
  <c r="J14" i="17"/>
  <c r="I14" i="17"/>
  <c r="J13" i="17"/>
  <c r="I13" i="17"/>
  <c r="K13" i="17"/>
  <c r="J12" i="17"/>
  <c r="J11" i="17"/>
  <c r="I11" i="17"/>
  <c r="I8" i="17"/>
  <c r="C15" i="19" l="1"/>
  <c r="L11" i="19"/>
  <c r="AB18" i="19"/>
  <c r="AB32" i="19"/>
  <c r="D20" i="18"/>
  <c r="P17" i="19"/>
  <c r="E22" i="19"/>
  <c r="E34" i="19"/>
  <c r="N37" i="19"/>
  <c r="P38" i="19"/>
  <c r="AD46" i="19"/>
  <c r="N48" i="19"/>
  <c r="N51" i="19"/>
  <c r="AD54" i="19"/>
  <c r="C62" i="19"/>
  <c r="C73" i="19"/>
  <c r="C84" i="19"/>
  <c r="AD88" i="19"/>
  <c r="N90" i="19"/>
  <c r="N92" i="19"/>
  <c r="C97" i="19"/>
  <c r="N98" i="19"/>
  <c r="C100" i="19"/>
  <c r="C105" i="19"/>
  <c r="N117" i="19"/>
  <c r="Q13" i="19"/>
  <c r="O13" i="19"/>
  <c r="C26" i="19"/>
  <c r="C27" i="19"/>
  <c r="N29" i="19"/>
  <c r="N30" i="19"/>
  <c r="C36" i="19"/>
  <c r="AD39" i="19"/>
  <c r="N44" i="19"/>
  <c r="C47" i="19"/>
  <c r="N50" i="19"/>
  <c r="C52" i="19"/>
  <c r="C55" i="19"/>
  <c r="C57" i="19"/>
  <c r="C64" i="19"/>
  <c r="N67" i="19"/>
  <c r="C76" i="19"/>
  <c r="C79" i="19"/>
  <c r="AD80" i="19"/>
  <c r="N100" i="19"/>
  <c r="E109" i="19"/>
  <c r="C14" i="19"/>
  <c r="C16" i="19"/>
  <c r="AC20" i="19"/>
  <c r="C22" i="19"/>
  <c r="P23" i="19"/>
  <c r="AD24" i="19"/>
  <c r="AC28" i="19"/>
  <c r="P36" i="19"/>
  <c r="C40" i="19"/>
  <c r="P41" i="19"/>
  <c r="AD45" i="19"/>
  <c r="AD53" i="19"/>
  <c r="C59" i="19"/>
  <c r="C66" i="19"/>
  <c r="C69" i="19"/>
  <c r="N70" i="19"/>
  <c r="N82" i="19"/>
  <c r="C86" i="19"/>
  <c r="N87" i="19"/>
  <c r="C89" i="19"/>
  <c r="N97" i="19"/>
  <c r="AD105" i="19"/>
  <c r="C110" i="19"/>
  <c r="N111" i="19"/>
  <c r="AB111" i="19" s="1"/>
  <c r="C116" i="19"/>
  <c r="H13" i="19"/>
  <c r="AD16" i="19"/>
  <c r="C19" i="19"/>
  <c r="C21" i="19"/>
  <c r="AD22" i="19"/>
  <c r="P27" i="19"/>
  <c r="AD28" i="19"/>
  <c r="C33" i="19"/>
  <c r="N34" i="19"/>
  <c r="C46" i="19"/>
  <c r="C54" i="19"/>
  <c r="P55" i="19"/>
  <c r="C72" i="19"/>
  <c r="N73" i="19"/>
  <c r="C75" i="19"/>
  <c r="AB79" i="19"/>
  <c r="C81" i="19"/>
  <c r="N94" i="19"/>
  <c r="C96" i="19"/>
  <c r="C99" i="19"/>
  <c r="AB113" i="19"/>
  <c r="E39" i="18"/>
  <c r="G13" i="19"/>
  <c r="C25" i="19"/>
  <c r="E31" i="19"/>
  <c r="AD31" i="19" s="1"/>
  <c r="C35" i="19"/>
  <c r="C38" i="19"/>
  <c r="C42" i="19"/>
  <c r="N47" i="19"/>
  <c r="N52" i="19"/>
  <c r="C63" i="19"/>
  <c r="C68" i="19"/>
  <c r="N69" i="19"/>
  <c r="N76" i="19"/>
  <c r="E83" i="19"/>
  <c r="AD89" i="19"/>
  <c r="N96" i="19"/>
  <c r="N99" i="19"/>
  <c r="AD106" i="19"/>
  <c r="N116" i="19"/>
  <c r="V12" i="19"/>
  <c r="N15" i="19"/>
  <c r="N16" i="19"/>
  <c r="P21" i="19"/>
  <c r="N22" i="19"/>
  <c r="C24" i="19"/>
  <c r="AD26" i="19"/>
  <c r="C28" i="19"/>
  <c r="C37" i="19"/>
  <c r="AD40" i="19"/>
  <c r="N46" i="19"/>
  <c r="C48" i="19"/>
  <c r="C51" i="19"/>
  <c r="N54" i="19"/>
  <c r="C56" i="19"/>
  <c r="C65" i="19"/>
  <c r="AD72" i="19"/>
  <c r="N75" i="19"/>
  <c r="N78" i="19"/>
  <c r="N81" i="19"/>
  <c r="N86" i="19"/>
  <c r="C88" i="19"/>
  <c r="C90" i="19"/>
  <c r="F44" i="18"/>
  <c r="P14" i="19"/>
  <c r="C17" i="19"/>
  <c r="P19" i="19"/>
  <c r="P20" i="19"/>
  <c r="P25" i="19"/>
  <c r="D13" i="19"/>
  <c r="C29" i="19"/>
  <c r="C30" i="19"/>
  <c r="N39" i="19"/>
  <c r="E44" i="19"/>
  <c r="AD49" i="19"/>
  <c r="C58" i="19"/>
  <c r="C67" i="19"/>
  <c r="N71" i="19"/>
  <c r="C77" i="19"/>
  <c r="C85" i="19"/>
  <c r="AB95" i="19"/>
  <c r="C98" i="19"/>
  <c r="F103" i="19"/>
  <c r="AD107" i="19"/>
  <c r="AD110" i="19"/>
  <c r="AD18" i="19"/>
  <c r="AD30" i="19"/>
  <c r="AD32" i="19"/>
  <c r="N35" i="19"/>
  <c r="N42" i="19"/>
  <c r="C50" i="19"/>
  <c r="C60" i="19"/>
  <c r="C70" i="19"/>
  <c r="C80" i="19"/>
  <c r="N83" i="19"/>
  <c r="C92" i="19"/>
  <c r="X91" i="19"/>
  <c r="AB101" i="19"/>
  <c r="C104" i="19"/>
  <c r="C108" i="19"/>
  <c r="AB114" i="19"/>
  <c r="D21" i="1"/>
  <c r="E23" i="1"/>
  <c r="C11" i="18"/>
  <c r="E30" i="18"/>
  <c r="E35" i="18"/>
  <c r="F38" i="18"/>
  <c r="F35" i="18"/>
  <c r="F9" i="18"/>
  <c r="F40" i="18"/>
  <c r="E44" i="18"/>
  <c r="T11" i="19"/>
  <c r="N112" i="19"/>
  <c r="AB112" i="19" s="1"/>
  <c r="E20" i="18"/>
  <c r="D12" i="18"/>
  <c r="AD27" i="19"/>
  <c r="N27" i="19"/>
  <c r="N17" i="19"/>
  <c r="AD17" i="19"/>
  <c r="C34" i="19"/>
  <c r="AD34" i="19"/>
  <c r="E13" i="19"/>
  <c r="C83" i="19"/>
  <c r="AD83" i="19"/>
  <c r="N21" i="19"/>
  <c r="AD21" i="19"/>
  <c r="AC13" i="19"/>
  <c r="O12" i="19"/>
  <c r="P13" i="19"/>
  <c r="N25" i="19"/>
  <c r="AD25" i="19"/>
  <c r="D12" i="19"/>
  <c r="N41" i="19"/>
  <c r="AD41" i="19"/>
  <c r="AB70" i="19"/>
  <c r="AD43" i="19"/>
  <c r="F13" i="19"/>
  <c r="AD15" i="19"/>
  <c r="AD19" i="19"/>
  <c r="AC24" i="19"/>
  <c r="AD29" i="19"/>
  <c r="AD36" i="19"/>
  <c r="AD42" i="19"/>
  <c r="AC90" i="19"/>
  <c r="AD23" i="19"/>
  <c r="AD57" i="19"/>
  <c r="N57" i="19"/>
  <c r="AD61" i="19"/>
  <c r="N61" i="19"/>
  <c r="R13" i="19"/>
  <c r="K13" i="19"/>
  <c r="AD48" i="19"/>
  <c r="AD52" i="19"/>
  <c r="AD56" i="19"/>
  <c r="N56" i="19"/>
  <c r="AD58" i="19"/>
  <c r="N58" i="19"/>
  <c r="AD60" i="19"/>
  <c r="N60" i="19"/>
  <c r="AD62" i="19"/>
  <c r="N62" i="19"/>
  <c r="AD64" i="19"/>
  <c r="N64" i="19"/>
  <c r="AD66" i="19"/>
  <c r="N66" i="19"/>
  <c r="AD69" i="19"/>
  <c r="AD70" i="19"/>
  <c r="AB93" i="19"/>
  <c r="AD109" i="19"/>
  <c r="AD59" i="19"/>
  <c r="N59" i="19"/>
  <c r="AD63" i="19"/>
  <c r="N63" i="19"/>
  <c r="AD65" i="19"/>
  <c r="N65" i="19"/>
  <c r="AD14" i="19"/>
  <c r="AD20" i="19"/>
  <c r="AD35" i="19"/>
  <c r="C39" i="19"/>
  <c r="C45" i="19"/>
  <c r="AD47" i="19"/>
  <c r="C49" i="19"/>
  <c r="AD51" i="19"/>
  <c r="C53" i="19"/>
  <c r="N55" i="19"/>
  <c r="N68" i="19"/>
  <c r="C74" i="19"/>
  <c r="C78" i="19"/>
  <c r="N80" i="19"/>
  <c r="C87" i="19"/>
  <c r="N88" i="19"/>
  <c r="K91" i="19"/>
  <c r="U91" i="19"/>
  <c r="U12" i="19" s="1"/>
  <c r="AD104" i="19"/>
  <c r="C27" i="18"/>
  <c r="E29" i="18"/>
  <c r="E37" i="18"/>
  <c r="E38" i="18"/>
  <c r="E28" i="18"/>
  <c r="E36" i="18"/>
  <c r="I12" i="17"/>
  <c r="K15" i="17"/>
  <c r="I15" i="17"/>
  <c r="K81" i="17"/>
  <c r="K9" i="17"/>
  <c r="I16" i="17"/>
  <c r="K16" i="17"/>
  <c r="I19" i="17"/>
  <c r="K19" i="17"/>
  <c r="J37" i="17"/>
  <c r="K10" i="17"/>
  <c r="K11" i="17"/>
  <c r="I10" i="17"/>
  <c r="I9" i="17"/>
  <c r="K12" i="17"/>
  <c r="J75" i="17"/>
  <c r="J21" i="17"/>
  <c r="K14" i="17"/>
  <c r="K21" i="17"/>
  <c r="K24" i="17"/>
  <c r="I30" i="17"/>
  <c r="K31" i="17"/>
  <c r="K33" i="17"/>
  <c r="K80" i="17"/>
  <c r="J81" i="17"/>
  <c r="K90" i="17"/>
  <c r="K91" i="17"/>
  <c r="K93" i="17"/>
  <c r="K29" i="17"/>
  <c r="K95" i="17"/>
  <c r="U11" i="19" l="1"/>
  <c r="C91" i="19"/>
  <c r="AB53" i="19"/>
  <c r="AB54" i="19"/>
  <c r="G12" i="19"/>
  <c r="C109" i="19"/>
  <c r="AB100" i="19"/>
  <c r="AB37" i="19"/>
  <c r="AB28" i="19"/>
  <c r="AB26" i="19"/>
  <c r="AB62" i="19"/>
  <c r="F12" i="19"/>
  <c r="C13" i="19"/>
  <c r="AB75" i="19"/>
  <c r="AB99" i="19"/>
  <c r="AD55" i="19"/>
  <c r="AB33" i="19"/>
  <c r="N36" i="19"/>
  <c r="AB51" i="19"/>
  <c r="AB49" i="19"/>
  <c r="AB17" i="19"/>
  <c r="N20" i="19"/>
  <c r="AB16" i="19"/>
  <c r="AB98" i="19"/>
  <c r="AB80" i="19"/>
  <c r="AB65" i="19"/>
  <c r="AB25" i="19"/>
  <c r="AB21" i="19"/>
  <c r="N19" i="19"/>
  <c r="AB96" i="19"/>
  <c r="AB67" i="19"/>
  <c r="AB50" i="19"/>
  <c r="AB30" i="19"/>
  <c r="Q12" i="19"/>
  <c r="AB48" i="19"/>
  <c r="AB60" i="19"/>
  <c r="AB78" i="19"/>
  <c r="AB45" i="19"/>
  <c r="R12" i="19"/>
  <c r="AB27" i="19"/>
  <c r="AB71" i="19"/>
  <c r="AB15" i="19"/>
  <c r="AB116" i="19"/>
  <c r="AB52" i="19"/>
  <c r="C31" i="19"/>
  <c r="AB110" i="19"/>
  <c r="AD44" i="19"/>
  <c r="AB40" i="19"/>
  <c r="AB74" i="19"/>
  <c r="AB39" i="19"/>
  <c r="AB63" i="19"/>
  <c r="AB66" i="19"/>
  <c r="AB58" i="19"/>
  <c r="AB61" i="19"/>
  <c r="AB83" i="19"/>
  <c r="AB42" i="19"/>
  <c r="AB46" i="19"/>
  <c r="AB94" i="19"/>
  <c r="AB73" i="19"/>
  <c r="AB69" i="19"/>
  <c r="AB29" i="19"/>
  <c r="AB92" i="19"/>
  <c r="AB68" i="19"/>
  <c r="AB41" i="19"/>
  <c r="E12" i="19"/>
  <c r="N14" i="19"/>
  <c r="AB22" i="19"/>
  <c r="V11" i="19"/>
  <c r="AB76" i="19"/>
  <c r="AB47" i="19"/>
  <c r="AB97" i="19"/>
  <c r="C44" i="19"/>
  <c r="F20" i="18"/>
  <c r="AB24" i="19"/>
  <c r="N91" i="19"/>
  <c r="AB55" i="19"/>
  <c r="AB59" i="19"/>
  <c r="AB64" i="19"/>
  <c r="AB56" i="19"/>
  <c r="AB57" i="19"/>
  <c r="AB34" i="19"/>
  <c r="X12" i="19"/>
  <c r="AB35" i="19"/>
  <c r="AB72" i="19"/>
  <c r="H12" i="19"/>
  <c r="N23" i="19"/>
  <c r="AB77" i="19"/>
  <c r="AB90" i="19"/>
  <c r="AD38" i="19"/>
  <c r="N38" i="19"/>
  <c r="E103" i="19"/>
  <c r="F27" i="18"/>
  <c r="J15" i="18"/>
  <c r="C10" i="18"/>
  <c r="C8" i="18" s="1"/>
  <c r="E12" i="18"/>
  <c r="F12" i="18"/>
  <c r="D11" i="18"/>
  <c r="AD13" i="19"/>
  <c r="P12" i="19"/>
  <c r="O11" i="19"/>
  <c r="AC12" i="19"/>
  <c r="AB91" i="19"/>
  <c r="K12" i="19"/>
  <c r="N13" i="19"/>
  <c r="D11" i="19"/>
  <c r="E27" i="18"/>
  <c r="I81" i="17"/>
  <c r="I23" i="17"/>
  <c r="K23" i="17"/>
  <c r="K77" i="17"/>
  <c r="J10" i="17"/>
  <c r="K70" i="17"/>
  <c r="I84" i="17"/>
  <c r="J69" i="17"/>
  <c r="K17" i="17"/>
  <c r="I17" i="17"/>
  <c r="K11" i="19" l="1"/>
  <c r="H11" i="19"/>
  <c r="Q11" i="19"/>
  <c r="AB20" i="19"/>
  <c r="AB36" i="19"/>
  <c r="AB31" i="19"/>
  <c r="AB19" i="19"/>
  <c r="AB14" i="19"/>
  <c r="F11" i="19"/>
  <c r="E11" i="19"/>
  <c r="C12" i="19"/>
  <c r="C103" i="19"/>
  <c r="AD103" i="19"/>
  <c r="AB23" i="19"/>
  <c r="X11" i="19"/>
  <c r="R11" i="19"/>
  <c r="AB38" i="19"/>
  <c r="AB44" i="19"/>
  <c r="G11" i="19"/>
  <c r="E11" i="18"/>
  <c r="D10" i="18"/>
  <c r="F11" i="18"/>
  <c r="N12" i="19"/>
  <c r="AB13" i="19"/>
  <c r="AG10" i="19"/>
  <c r="AC11" i="19"/>
  <c r="AD12" i="19"/>
  <c r="P11" i="19"/>
  <c r="J9" i="17"/>
  <c r="I75" i="17"/>
  <c r="I69" i="17"/>
  <c r="K36" i="17"/>
  <c r="J36" i="17"/>
  <c r="K69" i="17"/>
  <c r="K75" i="17"/>
  <c r="C11" i="19" l="1"/>
  <c r="AD11" i="19"/>
  <c r="D8" i="18"/>
  <c r="E10" i="18"/>
  <c r="E8" i="18" s="1"/>
  <c r="F10" i="18"/>
  <c r="AB12" i="19"/>
  <c r="N11" i="19"/>
  <c r="J32" i="17"/>
  <c r="K32" i="17"/>
  <c r="G4" i="17"/>
  <c r="H10" i="18" l="1"/>
  <c r="H8" i="18"/>
  <c r="H7" i="18"/>
  <c r="H11" i="18"/>
  <c r="I11" i="18" s="1"/>
  <c r="F8" i="18"/>
  <c r="N6" i="19"/>
  <c r="AB11" i="19"/>
  <c r="J8" i="17"/>
  <c r="K8" i="17"/>
  <c r="D39" i="1" l="1"/>
  <c r="C39" i="1"/>
  <c r="E15" i="1"/>
  <c r="E16" i="1"/>
  <c r="E17" i="1"/>
  <c r="E37" i="1" l="1"/>
  <c r="E38" i="1"/>
  <c r="E40" i="1"/>
  <c r="E41" i="1"/>
  <c r="E43" i="1"/>
  <c r="E44" i="1"/>
  <c r="E45" i="1"/>
  <c r="E42" i="1"/>
  <c r="E39" i="1" l="1"/>
  <c r="D12" i="1" l="1"/>
  <c r="C12" i="1"/>
  <c r="C9" i="1"/>
  <c r="D9" i="1"/>
  <c r="D8" i="1" l="1"/>
  <c r="S20" i="6"/>
  <c r="S19" i="6"/>
  <c r="S18" i="6"/>
  <c r="S17" i="6"/>
  <c r="S16" i="6"/>
  <c r="S15" i="6"/>
  <c r="S14" i="6"/>
  <c r="S12" i="6"/>
  <c r="S11" i="6"/>
  <c r="S10" i="6" l="1"/>
  <c r="E25" i="1" l="1"/>
  <c r="E26" i="1"/>
  <c r="E27" i="1"/>
  <c r="E28" i="1"/>
  <c r="E36" i="1" l="1"/>
  <c r="C33" i="1" l="1"/>
  <c r="C21" i="1" s="1"/>
  <c r="C8" i="1"/>
  <c r="E10" i="1" l="1"/>
  <c r="E11" i="1"/>
  <c r="E12" i="1"/>
  <c r="E13" i="1"/>
  <c r="E14" i="1"/>
  <c r="E21" i="1"/>
  <c r="E22" i="1"/>
  <c r="E24" i="1"/>
  <c r="E33" i="1"/>
  <c r="E34" i="1"/>
  <c r="E35" i="1"/>
  <c r="E9" i="1"/>
  <c r="E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18" authorId="0" shapeId="0" xr:uid="{B9B28A08-BB70-41B4-9510-B135A811C4D5}">
      <text>
        <r>
          <rPr>
            <b/>
            <sz val="9"/>
            <color indexed="81"/>
            <rFont val="Tahoma"/>
            <family val="2"/>
          </rPr>
          <t xml:space="preserve">Author:
</t>
        </r>
      </text>
    </comment>
    <comment ref="A119" authorId="0" shapeId="0" xr:uid="{DD205FC3-1C00-4723-97D1-8E389CACF88F}">
      <text>
        <r>
          <rPr>
            <b/>
            <sz val="9"/>
            <color indexed="81"/>
            <rFont val="Tahoma"/>
            <family val="2"/>
          </rPr>
          <t xml:space="preserve">Author: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17" authorId="0" shapeId="0" xr:uid="{00000000-0006-0000-0900-000001000000}">
      <text>
        <r>
          <rPr>
            <b/>
            <sz val="9"/>
            <color indexed="81"/>
            <rFont val="Tahoma"/>
            <family val="2"/>
          </rPr>
          <t xml:space="preserve">Author:
</t>
        </r>
      </text>
    </comment>
  </commentList>
</comments>
</file>

<file path=xl/sharedStrings.xml><?xml version="1.0" encoding="utf-8"?>
<sst xmlns="http://schemas.openxmlformats.org/spreadsheetml/2006/main" count="1454" uniqueCount="721">
  <si>
    <t>Biểu số 62/CK-NSNN</t>
  </si>
  <si>
    <t>Đơn vị: Triệu đồng</t>
  </si>
  <si>
    <t>STT</t>
  </si>
  <si>
    <t>NỘI DUNG</t>
  </si>
  <si>
    <t xml:space="preserve">DỰ TOÁN </t>
  </si>
  <si>
    <t>QUYẾT TOÁN</t>
  </si>
  <si>
    <t>SO SÁNH (%)</t>
  </si>
  <si>
    <t>A</t>
  </si>
  <si>
    <t>B</t>
  </si>
  <si>
    <t>3=2/1</t>
  </si>
  <si>
    <t>TỔNG NGUỒN THU NSĐP</t>
  </si>
  <si>
    <t>Thu ngân sách địa phương được hưởng theo phân cấp</t>
  </si>
  <si>
    <t>-</t>
  </si>
  <si>
    <t>Thu NSĐP được hưởng 100%</t>
  </si>
  <si>
    <t xml:space="preserve">Thu NSĐP hưởng từ các khoản thu phân chia </t>
  </si>
  <si>
    <t>Thu bổ sung từ NSTW</t>
  </si>
  <si>
    <t>Thu bổ sung cân đối</t>
  </si>
  <si>
    <t>Thu bổ sung có mục tiêu</t>
  </si>
  <si>
    <t>Thu từ quỹ dự trữ tài chính</t>
  </si>
  <si>
    <t>Thu chuyển nguồn từ năm trước chuyển sang</t>
  </si>
  <si>
    <t>TỔNG CHI NSĐP</t>
  </si>
  <si>
    <t>Chi đầu tư phát triển</t>
  </si>
  <si>
    <t>Chi thường xuyên</t>
  </si>
  <si>
    <t>Chi bổ sung quỹ dự trữ tài chính</t>
  </si>
  <si>
    <t>Dự phòng ngân sách</t>
  </si>
  <si>
    <t>II</t>
  </si>
  <si>
    <t>Chi các chương trình mục tiêu</t>
  </si>
  <si>
    <t>Chi các chương trình mục tiêu quốc gia</t>
  </si>
  <si>
    <t>Chi các chương trình mục tiêu, nhiệm vụ</t>
  </si>
  <si>
    <t>III</t>
  </si>
  <si>
    <t>Chi chuyển nguồn sang năm sau</t>
  </si>
  <si>
    <t>C</t>
  </si>
  <si>
    <t>D</t>
  </si>
  <si>
    <t>E</t>
  </si>
  <si>
    <t>Biểu số 63/CK-NSNN</t>
  </si>
  <si>
    <t>DỰ TOÁN</t>
  </si>
  <si>
    <t>5=3/1</t>
  </si>
  <si>
    <t>6=4/2</t>
  </si>
  <si>
    <t>TỔNG THU CÂN ĐỐI NSNN</t>
  </si>
  <si>
    <t>I</t>
  </si>
  <si>
    <t>Thu nội địa</t>
  </si>
  <si>
    <t>Thuế thu nhập cá nhân</t>
  </si>
  <si>
    <t>Thuế bảo vệ môi trường</t>
  </si>
  <si>
    <t>Lệ phí trước bạ</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</si>
  <si>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</si>
  <si>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</si>
  <si>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</si>
  <si>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</si>
  <si>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</si>
  <si>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tiền cấp quyền khai thác khoáng sản</t>
  </si>
  <si>
    <t>Thu khác ngân sách</t>
  </si>
  <si>
    <t>Thu từ quỹ đất công ích, hoa lợi công sản khác</t>
  </si>
  <si>
    <t>Thu từ dầu thô</t>
  </si>
  <si>
    <t>Thuế xuất khẩu</t>
  </si>
  <si>
    <t>Thuế nhập khẩu</t>
  </si>
  <si>
    <t>Thu khác</t>
  </si>
  <si>
    <t>IV</t>
  </si>
  <si>
    <t>THU KẾT DƯ NĂM TRƯỚC</t>
  </si>
  <si>
    <t>THU CHUYỂN NGUỒN TỪ NĂM TRƯỚC CHUYỂN SANG</t>
  </si>
  <si>
    <t>Biểu số 64/CK-NSNN</t>
  </si>
  <si>
    <t>1=2+3</t>
  </si>
  <si>
    <t>4=5+6</t>
  </si>
  <si>
    <t>7=4/1</t>
  </si>
  <si>
    <t>8=5/2</t>
  </si>
  <si>
    <t>9=6/3</t>
  </si>
  <si>
    <t>CHI CÂN ĐỐI NSĐP</t>
  </si>
  <si>
    <t>Chi đầu tư cho các dự án</t>
  </si>
  <si>
    <t>Chi giáo dục - đào tạo và dạy nghề</t>
  </si>
  <si>
    <t>Chi khoa học và công nghệ</t>
  </si>
  <si>
    <t>Chi đầu tư từ nguồn thu tiền sử dụng đất</t>
  </si>
  <si>
    <t>Chi đầu tư từ nguồn thu xổ số kiến thiết</t>
  </si>
  <si>
    <t>Chi đầu tư phát triển khác</t>
  </si>
  <si>
    <t>Trong đó:</t>
  </si>
  <si>
    <t>V</t>
  </si>
  <si>
    <t>VI</t>
  </si>
  <si>
    <t>CHI CÁC CHƯƠNG TRÌNH MỤC TIÊU</t>
  </si>
  <si>
    <t>CHI CHUYỂN NGUỒN SANG NĂM SAU</t>
  </si>
  <si>
    <t>Biểu số 65/CK-NSNN</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</si>
  <si>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</si>
  <si>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</si>
  <si>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</si>
  <si>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</si>
  <si>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</si>
  <si>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</si>
  <si>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</si>
  <si>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</si>
  <si>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</si>
  <si>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</si>
  <si>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</si>
  <si>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</si>
  <si>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</si>
  <si>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</si>
  <si>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</si>
  <si>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</si>
  <si>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</si>
  <si>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</si>
  <si>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Biểu số 66/CK-NSNN</t>
  </si>
  <si>
    <t>TÊN ĐƠN VỊ</t>
  </si>
  <si>
    <t>TỔNG SỐ</t>
  </si>
  <si>
    <t>CHI ĐẦU TƯ PHÁT TRIỂN (KHÔNG KỂ CHƯƠNG TRÌNH MTQG)</t>
  </si>
  <si>
    <t>CHI THƯỜNG XUYÊN (KHÔNG KỂ CHƯƠNG TRÌNH MTQG)</t>
  </si>
  <si>
    <t>CHI CHƯƠNG TRÌNH MTQG</t>
  </si>
  <si>
    <t>CHI CHUYỂN NGUỒN SANG NGÂN SÁCH NĂM SAU</t>
  </si>
  <si>
    <t>CHI ĐẦU TƯ PHÁT TRIỂN</t>
  </si>
  <si>
    <t>CHI THƯỜNG XUYÊN</t>
  </si>
  <si>
    <t>Biểu số 67/CK-NSNN</t>
  </si>
  <si>
    <t>Tên đơn vị</t>
  </si>
  <si>
    <t>Dự toán</t>
  </si>
  <si>
    <t>Quyết toán</t>
  </si>
  <si>
    <t>So sánh (%)</t>
  </si>
  <si>
    <t>Tổng số</t>
  </si>
  <si>
    <t>Bổ sung cân đối</t>
  </si>
  <si>
    <t>Bổ sung có mục tiêu</t>
  </si>
  <si>
    <t>Vốn đầu tư để thực hiện các chương trình mục tiêu, nhiệm vụ</t>
  </si>
  <si>
    <t>Vốn sự nghiệp để thực hiện các chế độ, chính sách, nhiệm vụ</t>
  </si>
  <si>
    <t>Vốn thực hiện các chương trình mục tiêu quốc gia</t>
  </si>
  <si>
    <t>13=7/1</t>
  </si>
  <si>
    <t>14=8/2</t>
  </si>
  <si>
    <t>15=9/3</t>
  </si>
  <si>
    <t>16=10/4</t>
  </si>
  <si>
    <t>17=11/5</t>
  </si>
  <si>
    <t>18=12/6</t>
  </si>
  <si>
    <t>Biểu số 68/CK-NSNN</t>
  </si>
  <si>
    <t>Nội dung</t>
  </si>
  <si>
    <t>Trong đó</t>
  </si>
  <si>
    <t>Đầu tư phát triển</t>
  </si>
  <si>
    <t>Kinh phí sự nghiệp</t>
  </si>
  <si>
    <t>Vốn trong nước</t>
  </si>
  <si>
    <t>Vốn ngoài nước</t>
  </si>
  <si>
    <t>Chương trình mục tiêu quốc gia xây dựng nông thôn mới</t>
  </si>
  <si>
    <t>Chương trình mục tiêu quốc gia giảm nghèo bền vững</t>
  </si>
  <si>
    <t>Ban Dân tộc</t>
  </si>
  <si>
    <t>Huyện Kon Rẫy</t>
  </si>
  <si>
    <t>Huyện Đăk Hà</t>
  </si>
  <si>
    <t>Thành phố Kon Tum</t>
  </si>
  <si>
    <t>Huyện Đăk Tô</t>
  </si>
  <si>
    <t xml:space="preserve">Huyện Ngọc Hồi </t>
  </si>
  <si>
    <t>Thu từ ngân sách cấp dưới nộp lên</t>
  </si>
  <si>
    <t>2.1</t>
  </si>
  <si>
    <t>2.2</t>
  </si>
  <si>
    <t>2.3</t>
  </si>
  <si>
    <t>6=7+8</t>
  </si>
  <si>
    <t>+</t>
  </si>
  <si>
    <t>3.1</t>
  </si>
  <si>
    <t>3.2</t>
  </si>
  <si>
    <t>Vốn nước ngoài</t>
  </si>
  <si>
    <t xml:space="preserve"> Chi nộp ngân sách cấp trên</t>
  </si>
  <si>
    <t>Huyện Đăk Glei</t>
  </si>
  <si>
    <t>Huyện Tu Mơ Rông</t>
  </si>
  <si>
    <t>Huyện Ia H'Drai</t>
  </si>
  <si>
    <t xml:space="preserve">Dự toán </t>
  </si>
  <si>
    <t xml:space="preserve">Quyết toán </t>
  </si>
  <si>
    <t>1=2+..+6</t>
  </si>
  <si>
    <t>14=15+16</t>
  </si>
  <si>
    <t xml:space="preserve">      Đơn vị: Triệu đồng</t>
  </si>
  <si>
    <t xml:space="preserve">Chi đầu tư phát triển </t>
  </si>
  <si>
    <t>Thu NSĐP</t>
  </si>
  <si>
    <t>Văn phòng Điều phối NTM tỉnh</t>
  </si>
  <si>
    <t>Chi thường xuyên cấp DT</t>
  </si>
  <si>
    <t>Chi thường xuyên cấp Lệnh chi</t>
  </si>
  <si>
    <t>Sự nghiệp</t>
  </si>
  <si>
    <t>Đâu tư</t>
  </si>
  <si>
    <t>Vay của ngân sách địa phương</t>
  </si>
  <si>
    <t>Huyện Kon Plong</t>
  </si>
  <si>
    <t>Huyện Sa Thầy</t>
  </si>
  <si>
    <t>CHI TRẢ NỢ GỐC CỦA NSĐP</t>
  </si>
  <si>
    <t>Từ nguồn vay để trả nợ gốc</t>
  </si>
  <si>
    <t>Từ nguồn bội thu, tăng thu, tiết kiệm chi, kết dư ngân sách cấp tỉnh</t>
  </si>
  <si>
    <t>TỔNG MỨC VAY CỦA NSĐP</t>
  </si>
  <si>
    <t>Vay để bù đắp bội chi</t>
  </si>
  <si>
    <t>Vay để trả nợ gốc</t>
  </si>
  <si>
    <t>TỔNG MỨC DƯ NỢ VAY CUỐI NĂM CỦA NSĐP</t>
  </si>
  <si>
    <t>Đ</t>
  </si>
  <si>
    <t>Thuế tiêu thụ đặc biệt thu từ hàng hóa nhập khẩu</t>
  </si>
  <si>
    <t>Tổng thu NSNN</t>
  </si>
  <si>
    <t>TỔNG NGUỒN THU NSNN (A+B+C+D)</t>
  </si>
  <si>
    <t>Thuế giá trị gia tăng</t>
  </si>
  <si>
    <t>Thuế thu nhập doanh nghiệp</t>
  </si>
  <si>
    <t>Thuế tài nguyên</t>
  </si>
  <si>
    <t>Thuế tài nguyên nước</t>
  </si>
  <si>
    <t>Thuế tài nguyên khác</t>
  </si>
  <si>
    <t>Thuế tài nguyên rừng</t>
  </si>
  <si>
    <t>4.1</t>
  </si>
  <si>
    <t>4.2</t>
  </si>
  <si>
    <t>4.3</t>
  </si>
  <si>
    <t>Thuế TTĐB hàng nội địa</t>
  </si>
  <si>
    <t>4.4</t>
  </si>
  <si>
    <t xml:space="preserve">Thu phí, lệ phí </t>
  </si>
  <si>
    <t>Phí và lệ phí trung ương</t>
  </si>
  <si>
    <t>Phí và lệ phí tỉnh</t>
  </si>
  <si>
    <t>Phí và lệ phí huyện</t>
  </si>
  <si>
    <t>Phí và lệ phí xã, phường</t>
  </si>
  <si>
    <t>Thu từ hoạt động xổ số kiến thiết</t>
  </si>
  <si>
    <t xml:space="preserve">Thu từ hoạt động xuất nhập khẩu </t>
  </si>
  <si>
    <t>Thuế bảo vệ môi trường thu từ hàng hóa nhập khẩu</t>
  </si>
  <si>
    <t>Thuế giá trị gia tăng thu từ hàng hóa nhập khẩu</t>
  </si>
  <si>
    <t>Thu viện trợ, các khoản huy động, đóng góp</t>
  </si>
  <si>
    <t>Bao gồm</t>
  </si>
  <si>
    <t xml:space="preserve">Ngân sách cấp tỉnh </t>
  </si>
  <si>
    <t xml:space="preserve">Ngân sách huyện </t>
  </si>
  <si>
    <t>Ngân sách địa phương</t>
  </si>
  <si>
    <t>Trong đó: Chia theo nguồn vốn</t>
  </si>
  <si>
    <t>Chi đầu tư và hỗ trợ vốn cho các doanh nghiệp cung cấp sản phẩm, dịch vụ công ích do Nhà nước đặt hàng, các tổ chức kinh tế, các tổ chức tài chính của địa phương theo quy định của pháp luật</t>
  </si>
  <si>
    <t>Chương trình MTQG NTM</t>
  </si>
  <si>
    <t>Chương trình MTQG giảm nghèo bền vững</t>
  </si>
  <si>
    <t xml:space="preserve">Chi các chương trình mục tiêu, nhiệm vụ </t>
  </si>
  <si>
    <t>II.1</t>
  </si>
  <si>
    <t>Bổ sung vốn đầu tư</t>
  </si>
  <si>
    <t>II.2</t>
  </si>
  <si>
    <t xml:space="preserve">Bổ sung mục tiêu vốn sự nghiệp </t>
  </si>
  <si>
    <t xml:space="preserve">Học bổng học sinh dân tộc nội trú; học bổng và phương tiện học tập cho học sinh khuyết tật; hỗ trợ chi phí học tập cho sinh viên dân tộc thiểu số thuộc hộ nghèo, hộ cận nghèo; chính sách nội trú đối với học sinh, sinh viên học cao đẳng, trung cấp </t>
  </si>
  <si>
    <t>Học bổng học sinh dân tộc nội trú</t>
  </si>
  <si>
    <t>Học bổng và phương tiện học tập cho học sinh khuyết tật TTLT 42</t>
  </si>
  <si>
    <t xml:space="preserve">Chính sách nội trú đối với học sinh, sinh viên học cao đẳng, trung cấp </t>
  </si>
  <si>
    <t>Hỗ trợ kinh phí đào tạo cán bộ quân sự cấp xã</t>
  </si>
  <si>
    <t>Kinh phí thực hiện đề án giảm thiểu hôn nhân cận huyết thống</t>
  </si>
  <si>
    <t>Hỗ trợ kinh phí mua thẻ BHYT người nghèo, người sống ở vùng kinh tế xã hội ĐBKK, người dân tộc thiểu số sống ở vùng KT-XH khó khăn</t>
  </si>
  <si>
    <t>Hỗ trợ kinh phí mua thẻ BHYT cho trẻ em dưới 6 tuổi</t>
  </si>
  <si>
    <t>Hỗ trợ kinh phí mua thẻ BHYT cho các đối tượng cựu chiến binh, thanh niên xung phong</t>
  </si>
  <si>
    <t>Hỗ trợ kinh phí mua thẻ BHYT cho các đối tượng bảo trợ xã hội</t>
  </si>
  <si>
    <t>Hỗ trợ kinh phí mua thẻ BHYT cho các đối tượng học sinh, sinh viên (Cấp KP trực tiếp về BHXH tỉnh)</t>
  </si>
  <si>
    <t>Hỗ trợ thực hiện chính sách đối với đối tượng bảo trợ xã hội theo NĐ 136</t>
  </si>
  <si>
    <t xml:space="preserve"> Hỗ trợ tiền điện hộ nghèo, hộ chính sách xã hội</t>
  </si>
  <si>
    <t>Hỗ trợ chính sách đối với người có uy tín trong đồng bào dân tộc thiểu số</t>
  </si>
  <si>
    <t>Hỗ trợ tổ chức đơn vị sử dụng lao động là người dân tộc thiểu số</t>
  </si>
  <si>
    <t>Chương trình mục tiêu ứng phó với biến đổi khí hậu và tăng trưởng xanh</t>
  </si>
  <si>
    <t>CHI NỘP TRẢ NGÂN SÁCH CẤP TRÊN</t>
  </si>
  <si>
    <t>Chi thường xuyên (không kể chương trình MTQG va TƯ BSMT vốn sự nghiệp)</t>
  </si>
  <si>
    <t>TƯ BSMT vốn sự nghiệp</t>
  </si>
  <si>
    <t>Thu kết dư năm trước</t>
  </si>
  <si>
    <t>Thu huy động, đóng góp</t>
  </si>
  <si>
    <t>Chi trả nợ gốc, lãi các khoản do chính quyền địa phương vay</t>
  </si>
  <si>
    <t>Trong đó: - Thuế BVMT thu từ hàng hóa sản xuất, kinh doanh trong nước</t>
  </si>
  <si>
    <t xml:space="preserve">                   - Thuế BVMT thu từ hàng hóa nhập khẩu</t>
  </si>
  <si>
    <t>(Chi tiết theo sắc thuế)</t>
  </si>
  <si>
    <t>Tăng thu từ các dự án khai thác quỹ đất so với dự toán Trung ương giao (phân bổ chi đầu tư các dự án, nhiệm vụ theo tiến độ nguồn thu thực tế)</t>
  </si>
  <si>
    <t>*</t>
  </si>
  <si>
    <t>Đất dự án khu trung tâm phường Ngô Mây, thành phố Kon Tum (1449)</t>
  </si>
  <si>
    <t>VAY CỦA NGÂN SÁCH ĐỊA PHƯƠNG</t>
  </si>
  <si>
    <t>Địa phương vay từ nguồn cho vay lại của Chính phủ</t>
  </si>
  <si>
    <t>TỔNG CHI NGÂN SÁCH ĐỊA PHƯƠNG (BAO GỒM BỘI CHI NSĐP)</t>
  </si>
  <si>
    <t>A.1</t>
  </si>
  <si>
    <t>A.2</t>
  </si>
  <si>
    <t>Chi từ nguồn bội chi NSĐP</t>
  </si>
  <si>
    <t xml:space="preserve"> -</t>
  </si>
  <si>
    <t>Dự án  an ninh y tế khu vực tiểu vùng Mê Kông mở rộng, thực hiện ghi thu ghi chi theo tiến độ giải ngân và trong phạm vi dự toán được giao.</t>
  </si>
  <si>
    <t>Chương trình mở rộng quy mô vệ sinh nước sạch nông thôn theo phương thức dựa trên kết quả, thực hiện ghi thu ghi chi theo tiến độ giải ngân và trong phạm vi dự toán được giao.</t>
  </si>
  <si>
    <t>Hỗ trợ Liên hiệp Phụ nữ</t>
  </si>
  <si>
    <t>Kinh phí hỗ trợ an ninh, quốc phòng</t>
  </si>
  <si>
    <t>CHI NỘP NGÂN SÁCH CẤP TRÊN</t>
  </si>
  <si>
    <t>Chi ngân sách cấp tỉnh</t>
  </si>
  <si>
    <t>Chi ngân sách huyện</t>
  </si>
  <si>
    <t>ĐVT: Triệu đồng</t>
  </si>
  <si>
    <t xml:space="preserve">TỔNG SỐ </t>
  </si>
  <si>
    <t xml:space="preserve">CHI TRẢ NỢ LÃI, GỐC VAY </t>
  </si>
  <si>
    <t xml:space="preserve">CHI NỘP TRẢ NGÂN SÁCH CẤP TRÊN </t>
  </si>
  <si>
    <t>CÁC CƠ QUAN, TỔ CHỨC</t>
  </si>
  <si>
    <t>I.1</t>
  </si>
  <si>
    <t>CÁC CƠ QUAN, TỔ CHỨC KHỐI TỈNH</t>
  </si>
  <si>
    <t>1</t>
  </si>
  <si>
    <t>Sở NN và PT nông thôn và các đơn vị trực thuộc</t>
  </si>
  <si>
    <t>2</t>
  </si>
  <si>
    <t>Sở GTVT và các đơn vị trực thuộc</t>
  </si>
  <si>
    <t>3</t>
  </si>
  <si>
    <t>Sở Xây dựng và các đơn vị trực thuộc</t>
  </si>
  <si>
    <t>4</t>
  </si>
  <si>
    <t>Sở Tài  nguyên MT và các ĐV trực thuộc</t>
  </si>
  <si>
    <t>5</t>
  </si>
  <si>
    <t>Sở Công Thương và các ĐV trực thuộc</t>
  </si>
  <si>
    <t>6</t>
  </si>
  <si>
    <t>Ngành giáo dục - Đào tạo ngành Giáo dục</t>
  </si>
  <si>
    <t>7</t>
  </si>
  <si>
    <t>Ngành Y tế</t>
  </si>
  <si>
    <t>8</t>
  </si>
  <si>
    <t>9</t>
  </si>
  <si>
    <t>Sở LĐ TB-XH và các đơn vị trực thuộc</t>
  </si>
  <si>
    <t>10</t>
  </si>
  <si>
    <t>Sở Tư pháp và các đơn vị trực thuộc</t>
  </si>
  <si>
    <t>11</t>
  </si>
  <si>
    <t>VP Tỉnh Uỷ và các đơn vị trực thuộc Tỉnh Uỷ</t>
  </si>
  <si>
    <t>12</t>
  </si>
  <si>
    <t>Sở Kh. học và CN và các ĐV trực thuộc</t>
  </si>
  <si>
    <t>13</t>
  </si>
  <si>
    <t>Tỉnh đoàn và các đơn vị trực thuộc</t>
  </si>
  <si>
    <t>14</t>
  </si>
  <si>
    <t>Sở Thông tin và truyền thông</t>
  </si>
  <si>
    <t>15</t>
  </si>
  <si>
    <t xml:space="preserve">Ban QL Khu Kinh tế  </t>
  </si>
  <si>
    <t>16</t>
  </si>
  <si>
    <t>Sở Nội vụ</t>
  </si>
  <si>
    <t>17</t>
  </si>
  <si>
    <t>Đài phát thanh - Truyền hình</t>
  </si>
  <si>
    <t>18</t>
  </si>
  <si>
    <t>19</t>
  </si>
  <si>
    <t>Sở Ngọai vụ</t>
  </si>
  <si>
    <t>20</t>
  </si>
  <si>
    <t>21</t>
  </si>
  <si>
    <t>VP Đoàn ĐBQH và  HĐND tỉnh</t>
  </si>
  <si>
    <t>22</t>
  </si>
  <si>
    <t>23</t>
  </si>
  <si>
    <t>Sở Kế hoạch  và Đầu tư</t>
  </si>
  <si>
    <t>24</t>
  </si>
  <si>
    <t>Sở Tài chính</t>
  </si>
  <si>
    <t>25</t>
  </si>
  <si>
    <t>VP Uỷ ban nhân dân tỉnh</t>
  </si>
  <si>
    <t>26</t>
  </si>
  <si>
    <t>Hội Cựu chiến binh</t>
  </si>
  <si>
    <t>27</t>
  </si>
  <si>
    <t>Hội Nông dân</t>
  </si>
  <si>
    <t>28</t>
  </si>
  <si>
    <t>Uỷ ban mặt trận tổ quốc</t>
  </si>
  <si>
    <t>29</t>
  </si>
  <si>
    <t>Hội liên hiệp phụ nữ tỉnh</t>
  </si>
  <si>
    <t>30</t>
  </si>
  <si>
    <t>Bộ chỉ huy BP; Quân sự, Công an tỉnh</t>
  </si>
  <si>
    <t>31</t>
  </si>
  <si>
    <t>32</t>
  </si>
  <si>
    <t>Hội nạn nhân ảnh hưởng chất độc da cam dioxin</t>
  </si>
  <si>
    <t>33</t>
  </si>
  <si>
    <t>Hội người tàn tật và trẻ em mồ côi</t>
  </si>
  <si>
    <t>34</t>
  </si>
  <si>
    <t>Hội khuyến học</t>
  </si>
  <si>
    <t>35</t>
  </si>
  <si>
    <t>Ban liên lạc tù chính trị</t>
  </si>
  <si>
    <t>36</t>
  </si>
  <si>
    <t>Hội nhà báo</t>
  </si>
  <si>
    <t>37</t>
  </si>
  <si>
    <t>Hội liên hiệp KH và kỹ thuật và các Hội thành viên</t>
  </si>
  <si>
    <t>38</t>
  </si>
  <si>
    <t>Hội Cựu Thanh niên xung phong</t>
  </si>
  <si>
    <t>39</t>
  </si>
  <si>
    <t>Hội Văn học Nghệ thuật</t>
  </si>
  <si>
    <t>40</t>
  </si>
  <si>
    <t>Hội HN Việt Nam - lào, VN - Campuchia</t>
  </si>
  <si>
    <t>41</t>
  </si>
  <si>
    <t>Hội liên lạc người Việt Nam ở nước ngoài</t>
  </si>
  <si>
    <t>42</t>
  </si>
  <si>
    <t>Hội Luật gia</t>
  </si>
  <si>
    <t>43</t>
  </si>
  <si>
    <t xml:space="preserve">Hội chữ thập đỏ </t>
  </si>
  <si>
    <t>Liên minh các Hợp tác xã</t>
  </si>
  <si>
    <t>Hỗ trợ ĐV TƯ kết nghĩa xã NQ 04</t>
  </si>
  <si>
    <t>Kinh phí trực phục vụ Tết nguyên đán</t>
  </si>
  <si>
    <t>Công đoàn viên chức tỉnh</t>
  </si>
  <si>
    <t>Đoàn Luật sư tỉnh</t>
  </si>
  <si>
    <t>Ban quản lý các dự án 98</t>
  </si>
  <si>
    <t>Bệnh viện đa khoa tỉnh</t>
  </si>
  <si>
    <t>Ban quản lý dự án bảo vệ và Quản lý tổng hợp các hệ sinh thái rừng</t>
  </si>
  <si>
    <t xml:space="preserve">Ban quản lý Vườn quốc gia Chư Mom Ray </t>
  </si>
  <si>
    <t>Trường Chính trị tỉnh Kon Tum</t>
  </si>
  <si>
    <t>Bệnh viện Y dược Cổ truyền - Phục hồi chức năng tỉnh Kon Tum</t>
  </si>
  <si>
    <t>Trung tâm nước sinh hoạt và VS MT nông thôn</t>
  </si>
  <si>
    <t>Ban quản lý dự án đầu tư xây dựng các CT nông nghiệp và PTNT</t>
  </si>
  <si>
    <t>Trung tâm Phát triển Quỹ đất</t>
  </si>
  <si>
    <t xml:space="preserve">Chi cục Kiểm lâm tỉnh </t>
  </si>
  <si>
    <t xml:space="preserve">Ngân hàng chính sách xã hội tỉnh </t>
  </si>
  <si>
    <t>Quỹ bảo trì đường bộ</t>
  </si>
  <si>
    <t>Báo Kon Tum</t>
  </si>
  <si>
    <t>Công ty TNHH MTV Cao su Chưmomray</t>
  </si>
  <si>
    <t>Công ty TNHH MTV Cao su Kon Tum</t>
  </si>
  <si>
    <t>Công ty Cổ phần Cao su Sa Thầy</t>
  </si>
  <si>
    <t>Ban ATGT tỉnh</t>
  </si>
  <si>
    <t>Các nguồn tập trung ngân sách tỉnh chưa phân bổ đầu năm (phân bổ khi có nhiệm vụ phát sinh)</t>
  </si>
  <si>
    <t>I.2</t>
  </si>
  <si>
    <t>CÁC HUYỆN, THÀNH PHỐ (Quyết toán tại ngân sách tỉnh, không bao gồm vốn đầu tư phân cấp NSH)</t>
  </si>
  <si>
    <t>UBND huyện Đăk Hà</t>
  </si>
  <si>
    <t>UBND huyện Đăk Tô</t>
  </si>
  <si>
    <t>UBND huyện Tu Mơ Rông</t>
  </si>
  <si>
    <t>UBND huyện Sa Thầy</t>
  </si>
  <si>
    <t xml:space="preserve">UBND huyện Ngọc Hồi </t>
  </si>
  <si>
    <t>UBND huyện Đăk Glei</t>
  </si>
  <si>
    <t>UBND huyện Ia H'Drai</t>
  </si>
  <si>
    <t>UBND huyện Kon Rẫy</t>
  </si>
  <si>
    <t xml:space="preserve">UBND huyện Kon PLông </t>
  </si>
  <si>
    <t>UBND thành phố Kon Tum</t>
  </si>
  <si>
    <t>Các Chủ đầu tư khác</t>
  </si>
  <si>
    <t>CHI KHÁC NGÂN SÁCH TỈNH</t>
  </si>
  <si>
    <t>Nguồn mua sắm sữa chữa tập trung</t>
  </si>
  <si>
    <t>Cấp vốn ủy thác, bù lãi suất theo NQ HĐND</t>
  </si>
  <si>
    <t>Chi khác ngân sách</t>
  </si>
  <si>
    <t>CHI BỔ SUNG QUỸ DỰ TRỮ TÀI CHÍNH</t>
  </si>
  <si>
    <t>CHI DỰ PHÒNG NGÂN SÁCH</t>
  </si>
  <si>
    <t xml:space="preserve">CHI BỔ SUNG MỤC TIÊU CHO NGÂN SÁCH HUYỆN </t>
  </si>
  <si>
    <t>VII</t>
  </si>
  <si>
    <t>VIII</t>
  </si>
  <si>
    <t>Nội dung (1)</t>
  </si>
  <si>
    <t>Ngân sách cấp tỉnh</t>
  </si>
  <si>
    <t>Ngân sách huyện</t>
  </si>
  <si>
    <t>CHI TỪ NGUỒN BỘI CHI NSĐP</t>
  </si>
  <si>
    <t>44</t>
  </si>
  <si>
    <t>45</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</si>
  <si>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</si>
  <si>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</si>
  <si>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</si>
  <si>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</si>
  <si>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</si>
  <si>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</si>
  <si>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</si>
  <si>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</si>
  <si>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</si>
  <si>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</si>
  <si>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</si>
  <si>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</si>
  <si>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</si>
  <si>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</si>
  <si>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</si>
  <si>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</si>
  <si>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</si>
  <si>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</si>
  <si>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</si>
  <si>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</si>
  <si>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</si>
  <si>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</si>
  <si>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</si>
  <si>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</si>
  <si>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</si>
  <si>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</si>
  <si>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</si>
  <si>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</si>
  <si>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</si>
  <si>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</si>
  <si>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QUYẾT TOÁN CHI NGÂN SÁCH CẤP TỈNH THEO CHO TỪNG CƠ QUAN, TỔ CHỨC NĂM 2021</t>
  </si>
  <si>
    <t>Huyện Tu mơ rông</t>
  </si>
  <si>
    <t>TP Kon Tum</t>
  </si>
  <si>
    <t>Chi nguồn giao tăng thu so dự toán Trung ương giao</t>
  </si>
  <si>
    <t>Chi từ nguồn viện trợ thuộc nguồn thu NSĐP</t>
  </si>
  <si>
    <t>Chi cho vay từ nguồn vốn trong nước</t>
  </si>
  <si>
    <t>Thu từ khu vực DNNN do trung ương quản lý (1)</t>
  </si>
  <si>
    <t>Dự án khai thác quỹ đất phát triển kết cấu hạ tầng Trung tâm thể dục thể thao phường Trường Chinh, thành phố Kon Tum (1449)</t>
  </si>
  <si>
    <t>GTGC tiền thuê đất tương ứng số tiền đền bù GPMB của các DA đầu tư mà nhà đầu tư đã tự nguyện ứng trước (3605)</t>
  </si>
  <si>
    <t>Tiền sử dụng đất thuộc Dự án đường Bà Triệu (1449)</t>
  </si>
  <si>
    <t>Tiền bán tài sản liền với đất thuộc Dự án đường Bà Triệu (3365)</t>
  </si>
  <si>
    <t>Thu viện trợ thuộc nguồn thu ngân sách địa phương</t>
  </si>
  <si>
    <t xml:space="preserve">Chi đầu tư cho các dự án </t>
  </si>
  <si>
    <t>Trong đó: Chia theo lĩnh vực</t>
  </si>
  <si>
    <t xml:space="preserve">Chi khoa học và công nghệ </t>
  </si>
  <si>
    <t>Chi từ nguồn thu các dự án khai thác quỹ đất so với dự toán Trung ương giao (Bao gồm chi đền bù GPMB của các DA đầu tư mà nhà đầu tư đã tự nguyện ứng trước từ nguồn thu tiền thuê đất, tiền sử dụng đất  phân bổ cho các dự án, nhiệm vụ theo tiến độ nguồn thu thực tế)</t>
  </si>
  <si>
    <t xml:space="preserve">Chi cho vay từ nguồn vốn trong nước </t>
  </si>
  <si>
    <t>Giải ngân theo cơ chế tài chính trong nước</t>
  </si>
  <si>
    <t>Dự án cấp điện nông thôn từ lưới điện quốc gia tỉnh Kon Tum giai đoạn 2014 -2020</t>
  </si>
  <si>
    <t>Thực hiện theo tiến độ GTGC</t>
  </si>
  <si>
    <t>Chương trình mở rộng quy mô nước sạch nông thôn dựa trên kết quả</t>
  </si>
  <si>
    <t>Dự án Sửa chữa và nâng cao an toán đập</t>
  </si>
  <si>
    <t>Dự án phát triển khu vực biên giới tỉnh Kon Tum - Đầu tư nâng cấp Tỉnh lộ 675A</t>
  </si>
  <si>
    <t>Dự án chuyển đổi nông nghiệp bền vững trên địa bàn tỉnh Kon Tum (VnSat) giai đoạn 2015-2020</t>
  </si>
  <si>
    <t>2.</t>
  </si>
  <si>
    <t>Vay lại nguồn vốn nước ngoài để thực hiện dự án ODA</t>
  </si>
  <si>
    <t>3.</t>
  </si>
  <si>
    <t xml:space="preserve">3.1 </t>
  </si>
  <si>
    <t>Bổ sung các chương trình mục tiêu</t>
  </si>
  <si>
    <t>Ngành, lĩnh vực giao thông</t>
  </si>
  <si>
    <t>Ngành, lĩnh vực cấp nước, thoát nước</t>
  </si>
  <si>
    <t>Ngành, lĩnh vực công nghiệp</t>
  </si>
  <si>
    <t>Ngành, lĩnh vực nông nghiệp, lâm nghiệp, thủy lợi và thủy sản</t>
  </si>
  <si>
    <t>Ngành, lĩnh vực Quốc phòng</t>
  </si>
  <si>
    <t>Ngành, lĩnh vực Giáo dục</t>
  </si>
  <si>
    <t>Ngành, lĩnh vực Y tế</t>
  </si>
  <si>
    <t>Hỗ trợ đồng bào miền núi theo Quyết định số 2085/QĐ-TTg</t>
  </si>
  <si>
    <t>Hỗ trợ đồng bào miền núi theo Quyết định số 2086/QĐ-TTg</t>
  </si>
  <si>
    <t xml:space="preserve">Nguồn dự phòng ngân sách Trung ương 2019 - các dự án cấp bách </t>
  </si>
  <si>
    <t>Nguồn dự phòng ngân sách Trung ương 2020 - các dự án cấp khẩn cấp</t>
  </si>
  <si>
    <t>Dự phòng  ngân sách Trung ương 2020</t>
  </si>
  <si>
    <t>Viện trợ không hoàn lại của chính phủ Ai Len</t>
  </si>
  <si>
    <t>Vốn Trái phiếu Chính phủ</t>
  </si>
  <si>
    <t>TPCP - Ngành giao thông</t>
  </si>
  <si>
    <t>TPCP - Ngành Giáo dục</t>
  </si>
  <si>
    <t>Dự án phát triển trẻ em toàn diện tỉnh Kon Tum giai đoạn 2017-2021 (Ban Quản lý Dự án Phát triển trẻ thơ toàn diện tỉnh)</t>
  </si>
  <si>
    <t xml:space="preserve">Nguồn vốn vay còn lại chưa phân bổ </t>
  </si>
  <si>
    <t xml:space="preserve">Hỗ trợ chi phí học tập và miễn giảm học phí </t>
  </si>
  <si>
    <t xml:space="preserve">Hỗ trợ học sinh và trường phổ thông ở xã, thôn đặc biệt khó khăn </t>
  </si>
  <si>
    <t>Hỗ trợ kinh phí ăn trưa đối với trẻ em mẫu giáo và chính sách đối với giáo viên mầm non; chính sách ưu tiên đối với học sinh mẫu giáo, học sinh dân tộc ít người</t>
  </si>
  <si>
    <t>Kinh phí thực hiện Nghị định số 105/2020/NĐ-CP quy định chính sách phát triển giáo dục mầm non</t>
  </si>
  <si>
    <t>Chính sách ưu tiên với học sinh mẫu giáo, học sinh dân tộc ít người theo Nghị định 57/2017/NĐ-CP</t>
  </si>
  <si>
    <t>Hỗ trợ kinh phí đào tạo cán bộ quân sự cấp xã; kinh phí thực hiện đề án giảm thiểu hôn nhân cận huyết</t>
  </si>
  <si>
    <t>5.1</t>
  </si>
  <si>
    <t>5.2</t>
  </si>
  <si>
    <t xml:space="preserve">Hỗ trợ kinh phí mua thẻ BHYT cho các đối tượng </t>
  </si>
  <si>
    <t>Hỗ trợ kinh phí mua thẻ BHYT cho các đối tượng cận nghèo (Cấp KP trực tiếp về BHXH tỉnh)</t>
  </si>
  <si>
    <t>Hỗ trợ thực hiện chính sách đối với đối tượng bảo trợ xã hội; hỗ trợ tiền điện hộ nghèo, hộ chính sách xã hội; trợ giá trực tiếp cho người dân tộc thiểu số nghèo ở vùng khó khăn; hỗ trợ chính sách đối với người có uy tín trong đồng bào dân tộc thiểu số; hỗ trợ tổ chức, đơn vị sử dụng lao động là người dân tộc thiểu số</t>
  </si>
  <si>
    <t>9.1</t>
  </si>
  <si>
    <t>9.2</t>
  </si>
  <si>
    <t>9.3</t>
  </si>
  <si>
    <t>9.4</t>
  </si>
  <si>
    <t>Hỗ trợ kinh phí sản phẩm, dịch vụ công ích thủy lợi</t>
  </si>
  <si>
    <t>Bổ sung kinh phí thực hiện nhiệm vụ đảm bảo trật tự an toàn giao thông</t>
  </si>
  <si>
    <t>Kinh phí quản lý, bảo trì đường bộ cho các quỹ bảo trì đường bộ địa phương</t>
  </si>
  <si>
    <t>Hỗ trợ thực hiện một số Đề án, Dự án Khoa học và công nghệ</t>
  </si>
  <si>
    <t>Biểu số 53</t>
  </si>
  <si>
    <t>QUYẾT TOÁN CHI NGÂN SÁCH ĐỊA PHƯƠNG, CHI NGÂN SÁCH CẤP TỈNH VÀ CHI NGÂN SÁCH HUYỆN THEO CƠ CẤU CHI NĂM 2021</t>
  </si>
  <si>
    <t>(Kèm theo Nghị quyết số 84/NQ-HĐND ngày 09/12/2022 của Hội đồng nhân dân tỉnh Kon Tum)</t>
  </si>
  <si>
    <t>Đvt: Triệu đồng</t>
  </si>
  <si>
    <t>Dự toán năm 2021</t>
  </si>
  <si>
    <r>
      <t xml:space="preserve">Ghi chú: </t>
    </r>
    <r>
      <rPr>
        <i/>
        <sz val="10"/>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</si>
  <si>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t>Biểu mẫu số 52</t>
  </si>
  <si>
    <t>QUYẾT TOÁN CHI NGÂN SÁCH CẤP TỈNH THEO LĨNH VỰC NĂM 2021</t>
  </si>
  <si>
    <t>So sánh</t>
  </si>
  <si>
    <t>Tuyệt đối</t>
  </si>
  <si>
    <t>Tương đối (%) (3)</t>
  </si>
  <si>
    <t>3=2-1</t>
  </si>
  <si>
    <t>4=2/1</t>
  </si>
  <si>
    <t>CHI BỔ SUNG CÂN ĐỐI CHO NGÂN SÁCH CẤP DƯỚI (1)</t>
  </si>
  <si>
    <t>CHI NGÂN SÁCH CẤP TỈNH (HUYỆN, XÃ) THEO LĨNH VỰC</t>
  </si>
  <si>
    <t>1.11</t>
  </si>
  <si>
    <t>Chi quốc phòng, an ninh và trật tự an toàn xã hội</t>
  </si>
  <si>
    <t>1.12</t>
  </si>
  <si>
    <t>Chi khoa học và công nghệ (2)</t>
  </si>
  <si>
    <t>Chi thường xuyên khác</t>
  </si>
  <si>
    <t>Chi trả nợ gốc, lãi các khoản do chính quyền địa phương vay (2)</t>
  </si>
  <si>
    <t>Chi bổ sung quỹ dự trữ tài chính (2)</t>
  </si>
  <si>
    <t>IX</t>
  </si>
  <si>
    <t>CHI NỌP TRẢ NGÂN SÁCH CẤP TRÊN</t>
  </si>
  <si>
    <r>
      <t>Ghi chú:</t>
    </r>
    <r>
      <rPr>
        <i/>
        <sz val="10"/>
        <rFont val="Times New Roman"/>
        <family val="1"/>
      </rPr>
      <t xml:space="preserve"> (1) Ngân sách xã không có nhiệm vụ chi bổ sung cân đối cho ngân sách cấp dưới.</t>
    </r>
  </si>
  <si>
    <t>(2) Theo quy định tại Điều 7, Điều 11 và Điều 39 Luật NSNN, ngân sách huyện, xã không có nhiệm vụ chi nghiên cứu khoa học và công nghệ, chi trả lãi vay, chi bổ sung quỹ dự trữ tài chính.</t>
  </si>
  <si>
    <t>(3) Số quyết toán tăng so với số dự toán giao đầu năm là trong năm được cấp có thẩm quyền giao bổ sung từ nguồn Trung ương bổ sung có mục tiêu, nguồn năm trước chuyển sang, nguồn tăng thu NSĐP....</t>
  </si>
  <si>
    <t>Biểu số 54</t>
  </si>
  <si>
    <t>CHI BỔ SUNG QUỸ DỰ TRỮ TÀI CHÍNH, CHI DỰ PHÒNG, CHI BSMT CHO NGÂN SÁCH HUYỆN; CHI TỪ NGUỒN VIỆN TRỢ THUỘC NGUỒN THU NSĐP</t>
  </si>
  <si>
    <t>9=10+..+14+17</t>
  </si>
  <si>
    <t>17=18+19</t>
  </si>
  <si>
    <t>20=9/1</t>
  </si>
  <si>
    <t>21=10/2</t>
  </si>
  <si>
    <t>22=11/3</t>
  </si>
  <si>
    <t>23=14/6</t>
  </si>
  <si>
    <t>Sở Văn hoá Thể thao và Du lịch</t>
  </si>
  <si>
    <t>Thanh tra tỉnh</t>
  </si>
  <si>
    <t>Ban bảo vệ sức khỏe cán bộ</t>
  </si>
  <si>
    <t>Trường cao đẳng cộng đồng</t>
  </si>
  <si>
    <t>Hội người cao tuổi</t>
  </si>
  <si>
    <t>KP hoạt động BCĐ thi hành án dân sự tỉnh</t>
  </si>
  <si>
    <t>Hội bảo vệ người tiêu dùng</t>
  </si>
  <si>
    <t>Ban Quản lý Dự án phát triển trẻ thơ toàn diện tỉnh</t>
  </si>
  <si>
    <t>Liên đoàn lao động tỉnh</t>
  </si>
  <si>
    <t>Ban quản lý khai thác các công trình thủy lợi tỉnh</t>
  </si>
  <si>
    <t>Ban quản lý dự án chuyển đổi NN bền vững tỉnh Kon Tum</t>
  </si>
  <si>
    <t>BQL Khu bảo tồn Thiên nhiên Ngọc Linh</t>
  </si>
  <si>
    <t>Các tổ chức, đơn vị sử dụng lao động là người DTTS theo QĐ 42</t>
  </si>
  <si>
    <t>Bảo hiểm xã hội tỉnh</t>
  </si>
  <si>
    <t>77</t>
  </si>
  <si>
    <t>78</t>
  </si>
  <si>
    <t>Các đơn vị khác</t>
  </si>
  <si>
    <t>KP sắp xếp bộ máy theo NQ 18, 19/CP và biến động BC khác</t>
  </si>
  <si>
    <t>KP lập các Quy hoạch theo NQ 69/TW</t>
  </si>
  <si>
    <t>KP bầu cử các cấp</t>
  </si>
  <si>
    <t>CHI TRẢ NỢ GỐC, LÃI CÁC KHOẢN DO CHÍNH QUYỀN ĐỊA PHƯƠNG VAY; CHI CHO VAY TỪ NGUỒN VỐN TRONG NƯỚC</t>
  </si>
  <si>
    <t>CHI TỪ NGUỒN VIỆN TRỢ THUỘC NGUỒN THU NSĐP</t>
  </si>
  <si>
    <t>CHI CHO VAY TỪ NGUỒN VỐN TRONG NƯỚC</t>
  </si>
  <si>
    <t>X</t>
  </si>
  <si>
    <t xml:space="preserve">Nội dung </t>
  </si>
  <si>
    <t>Tổng chi cân đối NSĐP (bao gồm bội chi NSĐP)</t>
  </si>
  <si>
    <t>Tổng chi cân đối NSĐP</t>
  </si>
  <si>
    <t>46</t>
  </si>
  <si>
    <t>CÂN ĐỐI NGÂN SÁCH ĐỊA PHƯƠNG NĂM 2022</t>
  </si>
  <si>
    <t>(Kèm theo Quyết định số          /QĐ-UBND ngày       /       /2023 của Uỷ ban nhân dân tỉnh Kon Tum)</t>
  </si>
  <si>
    <t>Các nhiệm vụ chi khác</t>
  </si>
  <si>
    <t>QUYẾT TOÁN THU NGÂN SÁCH NHÀ NƯỚC NĂM 2022</t>
  </si>
  <si>
    <t>Tăng thu tiền sử dụng đất thành phố quản lý (1449)</t>
  </si>
  <si>
    <t>Tiền thuê đất thuộc Dự án đường Bà Triệu (3605)</t>
  </si>
  <si>
    <t>Vay lại từ nguồn Chính phủ vay ngoài nước</t>
  </si>
  <si>
    <t xml:space="preserve">Chênh lệch thu chi Ngân hàng Nhà nước </t>
  </si>
  <si>
    <t xml:space="preserve">Lợi nhuận được chia của Nhà nước và lợi nhuận sau thuế còn lại sau khi trích lập các quỹ của doanh nghiệp nhà nước </t>
  </si>
  <si>
    <t xml:space="preserve">Thu hồi vốn, thu cổ tức </t>
  </si>
  <si>
    <t>Thu từ khu vực kinh tế ngoài quốc doanh</t>
  </si>
  <si>
    <t>Thu từ khu vực doanh nghiệp có vốn đầu tư nước ngoài</t>
  </si>
  <si>
    <t>Thu từ khu vực DNNN do địa phương quản lý</t>
  </si>
  <si>
    <t>Chi tăng cường hạ tầng khu KT cửa khẩu Bờ Y (từ nguồn thu phí sử dụng hạ tầng Khu kinh tế cửa khẩu)</t>
  </si>
  <si>
    <t>Chương trình mục tiêu quốc gia phát triển kinh tế - xã hội vùng đồng bào dân tộc thiểu số và miền núi giai đoạn 2021-2030, giai đoạn I: 2021 - 2025</t>
  </si>
  <si>
    <t>Hỗ trợ thực hiện một số Đề án, Dự án khoa học và công nghệ (Sở Khoa học và Công nghệ)</t>
  </si>
  <si>
    <t>Hỗ trợ vốn dự bị động viên: Dự án cơ sở huấn luyện dự bị động viên (Bộ Chỉ huy Quân sự tỉnh)</t>
  </si>
  <si>
    <t>Hỗ trợ bồi dưỡng cán bộ, công chức Hội Liên hiệp các cấp và Chi hội trưởng Phụ nữ (Hội Liên hiệp phụ nữ tỉnh)</t>
  </si>
  <si>
    <t>2.4</t>
  </si>
  <si>
    <t>Hỗ trợ kinh phí thực hiện nhiệm vụ đảm bảo trật tự an toàn giao thông</t>
  </si>
  <si>
    <t>2.5</t>
  </si>
  <si>
    <t>Kinh phí quản lý, bảo trì đường bộ (Sở Giao thông vận tải)</t>
  </si>
  <si>
    <t>QUYẾT TOÁN CHI NGÂN SÁCH ĐỊA PHƯƠNG, CHI NGÂN SÁCH CẤP TỈNH  VÀ CHI NGÂN SÁCH HUYỆN THEO CƠ CẤU CHI NĂM 2022</t>
  </si>
  <si>
    <t>QUYẾT TOÁN CHI NGÂN SÁCH CẤP TỈNH THEO TỪNG LĨNH VỰC NĂM 2022</t>
  </si>
  <si>
    <t>CHI BỔ SUNG QUỸ DỰ TRỮ TÀI CHÍNH, CHI DỰ PHÒNG, CHI BSMT CHO NGÂN SÁCH HUYỆN; CHI TỪ NGUỒN GIAO TĂNG THU SO DỰ TOÁN TRUNG ƯƠNG GIAO</t>
  </si>
  <si>
    <t>CHI BỔ SUNG QUỸ DỰ TRỮ TÀI CHÍNH, CHI DỰ PHÒNG, CHI BSMT CHO NGÂN SÁCH HUYỆN;  CHI CHO VAY TỪ NGUỒN VỐN TRONG NƯỚC</t>
  </si>
  <si>
    <t>Sở Nông nghiệp và phát triển nông thôn</t>
  </si>
  <si>
    <t>BQL khai thác các công trình thủy lợi</t>
  </si>
  <si>
    <t>Sở Giao thông vận tải</t>
  </si>
  <si>
    <t>Ban An toàn giao thông</t>
  </si>
  <si>
    <t>Sở Xây dựng</t>
  </si>
  <si>
    <t>Sở Tài nguyên Môi trường</t>
  </si>
  <si>
    <t xml:space="preserve">Sở Công Thương </t>
  </si>
  <si>
    <t>Sở Giáo dục Đào tạo</t>
  </si>
  <si>
    <t>Sở Y tế</t>
  </si>
  <si>
    <t xml:space="preserve">Sở Văn hoá - Thể thao và  Du lịch </t>
  </si>
  <si>
    <t>Sở Lao động Thương binh Xã hội</t>
  </si>
  <si>
    <t xml:space="preserve">Sở Tư pháp </t>
  </si>
  <si>
    <t>Văn phòng Tỉnh Uỷ</t>
  </si>
  <si>
    <t>Sở Khoa học công nghệ</t>
  </si>
  <si>
    <t xml:space="preserve">Tỉnh đoàn </t>
  </si>
  <si>
    <t>Sở Thông tin truyền thông</t>
  </si>
  <si>
    <t xml:space="preserve">Ban Quản lý Khu Kinh tế  </t>
  </si>
  <si>
    <t>BQL Vườn quốc gia Chư Mom Ray</t>
  </si>
  <si>
    <t>Trường Cao đẳng Cộng đồng</t>
  </si>
  <si>
    <t xml:space="preserve">Trường Chính trị </t>
  </si>
  <si>
    <t xml:space="preserve"> Đài phát thanh - Truyền hình</t>
  </si>
  <si>
    <t xml:space="preserve">Ban bảo vệ chăm sóc sức khoẻ cán bộ </t>
  </si>
  <si>
    <t>Sở Ngoại vụ</t>
  </si>
  <si>
    <t>Văn phòng Đoàn ĐBQH và HĐND tỉnh</t>
  </si>
  <si>
    <t xml:space="preserve">Sở Kế hoạch Đầu tư </t>
  </si>
  <si>
    <t xml:space="preserve">Sở Tài chính </t>
  </si>
  <si>
    <t xml:space="preserve">Hội Cựu chiến binh </t>
  </si>
  <si>
    <t xml:space="preserve">Hội Nông dân </t>
  </si>
  <si>
    <t xml:space="preserve">Hội liên hiệp phụ nữ tỉnh </t>
  </si>
  <si>
    <t>Ban Quản lý dự án đầu tư xây dựng các công trình giao thông, dân dụng và công nghiệp tỉnh Kon Tum</t>
  </si>
  <si>
    <t>Chi Cục Kiểm lâm</t>
  </si>
  <si>
    <t>Ban quản lý dự án đầu tư xây dựng các công trình Nông nghiệp và PTNT</t>
  </si>
  <si>
    <t>Ban quản lý DA chuyển đổi NN bền vững tỉnh Kon Tum  (VnSat)</t>
  </si>
  <si>
    <t>Công ty Đầu tư phát triển hạ tầng Khu kinh tế tỉnh</t>
  </si>
  <si>
    <t>Công an tỉnh</t>
  </si>
  <si>
    <t>Bộ Chỉ huy Quân sự tinh và Bộ Chỉ huy Biên phòng</t>
  </si>
  <si>
    <t>Các Chủ đầu tư khác, chi phí QL đất đai, Quỹ phát triển đất, Chưa phân bổ chi tiết</t>
  </si>
  <si>
    <t>Hội nạn nhân chất độc da cam/dioxin</t>
  </si>
  <si>
    <t>Hội Bảo vệ quyền trẻ em và bảo trợ người khuyết tật</t>
  </si>
  <si>
    <t xml:space="preserve">Liên hiệp các hội KH và kỹ thuật </t>
  </si>
  <si>
    <t>Hội hữu nghị Việt - Lào và Hội Hữu nghị Việt Nam - Campuchia</t>
  </si>
  <si>
    <t>Liên minh Hợp tác xã</t>
  </si>
  <si>
    <t>Đoàn Luật sư</t>
  </si>
  <si>
    <t>Tòa án nhân dân tỉnh</t>
  </si>
  <si>
    <t>Các đơn vị khác không có mã số thụ hưởng NS tỉnh Kon Tum</t>
  </si>
  <si>
    <t>Ban Quản lý Dự án Phát triển trẻ thơ toàn diện tỉnh</t>
  </si>
  <si>
    <t xml:space="preserve">Liên đoàn Lao động tỉnh </t>
  </si>
  <si>
    <t>Công ty TNHH MTV Lâm nghiệp Đăk Glei</t>
  </si>
  <si>
    <t>Công ty TNHH MTV Lâm nghiệp Kon Rẫy</t>
  </si>
  <si>
    <t>Công ty TNHH MTV Lâm nghiệp Sa Thầy</t>
  </si>
  <si>
    <t>Công ty TNHH MTV Lâm nghiệp Ngọc Hồi</t>
  </si>
  <si>
    <t>Công ty TNHH MTV Lâm nghiệp Đăk Tô</t>
  </si>
  <si>
    <t>Công ty TNHH MTV Lâm nghiệp Kon Plong</t>
  </si>
  <si>
    <t>Công ty TNHH MTV Lâm nghiệp Ia H'Drai</t>
  </si>
  <si>
    <t>Công ty cổ phần Sâm Ngọc Linh Kon Tum</t>
  </si>
  <si>
    <t>Công ty cổ phần đầu tư phát triển Duy Tân</t>
  </si>
  <si>
    <t>Công ty TNHH MTV Cao su Chư Momray</t>
  </si>
  <si>
    <t>Công ty cổ phần Cao su Sa Thầy</t>
  </si>
  <si>
    <t>Vốn vay đầu năm chưa phân bổ</t>
  </si>
  <si>
    <t>Hội Cựu giáo chức</t>
  </si>
  <si>
    <t>Trung tâm nước sinh hoạt và VSMT nông thôn</t>
  </si>
  <si>
    <t>Trung tâm phát triển quỹ đất tỉnh</t>
  </si>
  <si>
    <t>79</t>
  </si>
  <si>
    <t>Đảng ủy khối Cơ quan và doanh nghiệp tỉnh Kon Tum</t>
  </si>
  <si>
    <t>82</t>
  </si>
  <si>
    <t>BQL Khu BTTN Ngọc Linh</t>
  </si>
  <si>
    <t>84</t>
  </si>
  <si>
    <t>Bảo vệ và quản lý tổng hợp các hệ sinh thái rừng thuộc các tỉnh Quảng Nam, Kon Tum  và Gia Lai ( gọi tắt là dự án KfW 10 tỉnh Kon Tum )</t>
  </si>
  <si>
    <t>CHI TRẢ NỢ GỐC, LÃI CÁC KHOẢN DO CHÍNH QUYỀN ĐỊA PHƯƠNG VAY</t>
  </si>
  <si>
    <t>CHI TỪ NGUỒN GIAO TĂNG THU SO DỰ TOÁN TRUNG ƯƠNG GIAO</t>
  </si>
  <si>
    <t>QUYẾT TOÁN CHI NGÂN SÁCH CẤP TỈNH THEO CHO TỪNG CƠ QUAN, TỔ CHỨC NĂM 2022</t>
  </si>
  <si>
    <t>QUYẾT TOÁN CHI BỔ SUNG TỪ NGÂN SÁCH CẤP TỈNH CHO NGÂN SÁCH HUYỆN NĂM 2022</t>
  </si>
  <si>
    <t>Huyện Ngọc Hồi</t>
  </si>
  <si>
    <t>Huyện Ia'H Drai</t>
  </si>
  <si>
    <t>QUYẾT TOÁN CHI CHƯƠNG TRÌNH MỤC TIÊU QUỐC GIA NĂM 2022</t>
  </si>
  <si>
    <t>DỰ TOÁN TRUNG ƯƠNG BỔ SUNG CÓ MỤC TIÊU TRONG NĂM 2022</t>
  </si>
  <si>
    <t>2=5+12+19</t>
  </si>
  <si>
    <t>3=8+15+22</t>
  </si>
  <si>
    <t>4=5+8</t>
  </si>
  <si>
    <t>5=6+7</t>
  </si>
  <si>
    <t>8=9+10</t>
  </si>
  <si>
    <t>11=12+15</t>
  </si>
  <si>
    <t>12=13+14</t>
  </si>
  <si>
    <t>15=16+17</t>
  </si>
  <si>
    <t>18=19+22</t>
  </si>
  <si>
    <t>19=20+21</t>
  </si>
  <si>
    <t>22=23+24</t>
  </si>
  <si>
    <t>25=26+27</t>
  </si>
  <si>
    <t>26=29+36+43</t>
  </si>
  <si>
    <t>27=32+39+46</t>
  </si>
  <si>
    <t>28=29+32</t>
  </si>
  <si>
    <t>29=30+31</t>
  </si>
  <si>
    <t>32=33+34</t>
  </si>
  <si>
    <t>35=36+39</t>
  </si>
  <si>
    <t>36=37+38</t>
  </si>
  <si>
    <t>39=40+41</t>
  </si>
  <si>
    <t>42=43+46</t>
  </si>
  <si>
    <t>43=44+45</t>
  </si>
  <si>
    <t>46=47+48</t>
  </si>
  <si>
    <t>49=25/1</t>
  </si>
  <si>
    <t>50=26/2</t>
  </si>
  <si>
    <t>51=27/3</t>
  </si>
  <si>
    <t>52=28/4</t>
  </si>
  <si>
    <t>53=29/5</t>
  </si>
  <si>
    <t>54=30/6</t>
  </si>
  <si>
    <t>55=31/7</t>
  </si>
  <si>
    <t>56=32/8</t>
  </si>
  <si>
    <t>57=33/9</t>
  </si>
  <si>
    <t>58=34/10</t>
  </si>
  <si>
    <t>59=35/11</t>
  </si>
  <si>
    <t>60=36/12</t>
  </si>
  <si>
    <t>61=37/13</t>
  </si>
  <si>
    <t>62=38/14</t>
  </si>
  <si>
    <t>63=39/15</t>
  </si>
  <si>
    <t>64=40/16</t>
  </si>
  <si>
    <t>65=41/17</t>
  </si>
  <si>
    <t>66=42/18</t>
  </si>
  <si>
    <t>67=43/19</t>
  </si>
  <si>
    <t>68=44/20</t>
  </si>
  <si>
    <t>69=45/21</t>
  </si>
  <si>
    <t>70=46/22</t>
  </si>
  <si>
    <t>71=47/23</t>
  </si>
  <si>
    <t>72=48/24</t>
  </si>
  <si>
    <t>Sở Nông nghiệp và Phát triển nông thôn</t>
  </si>
  <si>
    <t>Sở Lao động - Thương binh và Xã hội</t>
  </si>
  <si>
    <t>Sở Công Thương</t>
  </si>
  <si>
    <t>Sở Giáo dục và Đào tạo</t>
  </si>
  <si>
    <t>Trường Cao đẳng Cộng đồng Kon Tum</t>
  </si>
  <si>
    <t>Sở Văn hóa, Thể thao và Du lịch</t>
  </si>
  <si>
    <t>Hội Liên hiệp Phụ nữ tỉnh</t>
  </si>
  <si>
    <t>Liên minh Hợp tác xã tỉnh</t>
  </si>
  <si>
    <t>Hội Nông dân tỉnh</t>
  </si>
  <si>
    <t>Tỉnh đoàn</t>
  </si>
  <si>
    <t>Ủy ban Mặt trận Tổ quốc Viêt Nam tỉnh</t>
  </si>
  <si>
    <t>Ban Dân vận Tỉnh ủy</t>
  </si>
  <si>
    <t>Sở Thông tin và Truyền thông</t>
  </si>
  <si>
    <t>Sở Kế hoạch và Đầu tư</t>
  </si>
  <si>
    <t>Sở Tư pháp</t>
  </si>
  <si>
    <t>Sở Giao thông Vận tải</t>
  </si>
  <si>
    <t>Ngân hàng Nhà nước Việt Nam - Chi nhánh tỉnh Kon Tum</t>
  </si>
  <si>
    <t>Ban quản lý Vườn quốc gia Chư Mom Ray</t>
  </si>
  <si>
    <t>Công ty TNHH MTV Lâm nghiệp Kon Plông</t>
  </si>
  <si>
    <t>Bộ Chỉ huy Biên phòng tỉnh</t>
  </si>
  <si>
    <t>Bộ Chỉ huy Quân sự tỉnh</t>
  </si>
  <si>
    <t>(Kèm theo Quyết định số 749 /QĐ-UBND ngày 18/12/2023 của Uỷ ban nhân dân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</si>
</sst>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00\ _₫_-;\-* #,##0.00\ _₫_-;_-* &quot;-&quot;??\ _₫_-;_-@_-"/>
    <numFmt numFmtId="165" formatCode="_(* #,##0.0_);_(* \(#,##0.0\);_(* &quot;-&quot;??_);_(@_)"/>
    <numFmt numFmtId="166" formatCode="_(* #,##0_);_(* \(#,##0\);_(* &quot;-&quot;??_);_(@_)"/>
    <numFmt numFmtId="167" formatCode="_(* #,##0.00_);_(* \(#,##0.00\);_(* \-??_);_(@_)"/>
    <numFmt numFmtId="168" formatCode="0.0%"/>
    <numFmt numFmtId="169" formatCode="_-* #,##0\ _₫_-;\-* #,##0\ _₫_-;_-* &quot;-&quot;??\ _₫_-;_-@_-"/>
    <numFmt numFmtId="170" formatCode="_-* #,##0_-;\-* #,##0_-;_-* &quot;-&quot;??_-;_-@_-"/>
    <numFmt numFmtId="171" formatCode="_(* #,##0.00000_);_(* \(#,##0.00000\);_(* &quot;-&quot;??_);_(@_)"/>
    <numFmt numFmtId="172" formatCode="_(* #,##0.0000_);_(* \(#,##0.0000\);_(* &quot;-&quot;??_);_(@_)"/>
    <numFmt numFmtId="173" formatCode="_(* #,##0.0000_);_(* \(#,##0.0000\);_(* &quot;-&quot;????_);_(@_)"/>
    <numFmt numFmtId="174" formatCode="_-* #,##0.000000\ _₫_-;\-* #,##0.000000\ _₫_-;_-* &quot;-&quot;???\ _₫_-;_-@_-"/>
    <numFmt numFmtId="175" formatCode="_-* #,##0.00_-;\-* #,##0.00_-;_-* &quot;-&quot;??_-;_-@_-"/>
  </numFmts>
  <fonts count="63" x14ac:knownFonts="1">
    <font>
      <sz val="11"/>
      <color theme="1"/>
      <name val="Calibri"/>
      <family val="2"/>
      <scheme val="minor"/>
    </font>
    <font>
      <sz val="11"/>
      <color theme="1"/>
      <name val="Calibri"/>
      <family val="2"/>
      <charset val="163"/>
      <scheme val="minor"/>
    </font>
    <font>
      <sz val="11"/>
      <color theme="1"/>
      <name val="Calibri"/>
      <family val="2"/>
      <charset val="163"/>
      <scheme val="minor"/>
    </font>
    <font>
      <sz val="12"/>
      <color theme="1"/>
      <name val="Times New Roman"/>
      <family val="2"/>
    </font>
    <font>
      <sz val="11"/>
      <color theme="1"/>
      <name val="Calibri"/>
      <family val="2"/>
      <scheme val="minor"/>
    </font>
    <font>
      <sz val="10"/>
      <name val="Arial"/>
      <family val="2"/>
    </font>
    <font>
      <b/>
      <sz val="12"/>
      <color rgb="FF000000"/>
      <name val="Times New Roman"/>
      <family val="1"/>
    </font>
    <font>
      <i/>
      <sz val="12"/>
      <color rgb="FF000000"/>
      <name val="Times New Roman"/>
      <family val="1"/>
    </font>
    <font>
      <sz val="12"/>
      <color rgb="FF000000"/>
      <name val="Times New Roman"/>
      <family val="1"/>
    </font>
    <font>
      <b/>
      <sz val="12"/>
      <color rgb="FFFF0000"/>
      <name val="Times New Roman"/>
      <family val="1"/>
    </font>
    <font>
      <sz val="10"/>
      <color rgb="FF000000"/>
      <name val="Times New Roman"/>
      <family val="1"/>
    </font>
    <font>
      <sz val="11"/>
      <name val="Times New Roman"/>
      <family val="1"/>
    </font>
    <font>
      <b/>
      <sz val="11"/>
      <name val="Times New Roman"/>
      <family val="1"/>
    </font>
    <font>
      <b/>
      <sz val="12"/>
      <name val="Times New Roman"/>
      <family val="1"/>
    </font>
    <font>
      <i/>
      <sz val="11"/>
      <name val="Times New Roman"/>
      <family val="1"/>
    </font>
    <font>
      <sz val="12"/>
      <name val="Times New Roman"/>
      <family val="1"/>
    </font>
    <font>
      <sz val="10"/>
      <name val="Times New Roman"/>
      <family val="1"/>
    </font>
    <font>
      <b/>
      <sz val="13"/>
      <name val="Times New Roman"/>
      <family val="1"/>
    </font>
    <font>
      <i/>
      <sz val="12"/>
      <name val="Times New Roman"/>
      <family val="1"/>
    </font>
    <font>
      <sz val="11"/>
      <color indexed="8"/>
      <name val="Calibri"/>
      <family val="2"/>
    </font>
    <font>
      <b/>
      <sz val="10"/>
      <name val="Times New Roman"/>
      <family val="1"/>
    </font>
    <font>
      <sz val="12"/>
      <color theme="1"/>
      <name val="Times New Roman"/>
      <family val="1"/>
    </font>
    <font>
      <b/>
      <sz val="12"/>
      <color theme="1"/>
      <name val="Times New Roman"/>
      <family val="1"/>
    </font>
    <font>
      <sz val="11"/>
      <color theme="1"/>
      <name val="Times New Roman"/>
      <family val="1"/>
    </font>
    <font>
      <sz val="10"/>
      <color theme="1"/>
      <name val="Times New Roman"/>
      <family val="1"/>
    </font>
    <font>
      <b/>
      <sz val="11"/>
      <color theme="1"/>
      <name val="Times New Roman"/>
      <family val="1"/>
    </font>
    <font>
      <sz val="9"/>
      <name val="Times New Roman"/>
      <family val="1"/>
    </font>
    <font>
      <b/>
      <sz val="9"/>
      <name val="Times New Roman"/>
      <family val="1"/>
    </font>
    <font>
      <sz val="8"/>
      <name val="Times New Roman"/>
      <family val="1"/>
    </font>
    <font>
      <b/>
      <sz val="10"/>
      <color rgb="FF000000"/>
      <name val="Times New Roman"/>
      <family val="1"/>
    </font>
    <font>
      <i/>
      <sz val="10"/>
      <color rgb="FF000000"/>
      <name val="Times New Roman"/>
      <family val="1"/>
    </font>
    <font>
      <b/>
      <sz val="10"/>
      <color theme="1"/>
      <name val="Times New Roman"/>
      <family val="1"/>
    </font>
    <font>
      <i/>
      <sz val="12"/>
      <color theme="1"/>
      <name val="Times New Roman"/>
      <family val="1"/>
    </font>
    <font>
      <sz val="12"/>
      <color rgb="FFFF0000"/>
      <name val="Times New Roman"/>
      <family val="1"/>
    </font>
    <font>
      <b/>
      <sz val="11"/>
      <color rgb="FFFF0000"/>
      <name val="Times New Roman"/>
      <family val="1"/>
    </font>
    <font>
      <i/>
      <sz val="13"/>
      <name val="Times New Roman"/>
      <family val="1"/>
    </font>
    <font>
      <b/>
      <sz val="10"/>
      <name val="Times New Roman"/>
      <family val="1"/>
      <charset val="163"/>
    </font>
    <font>
      <i/>
      <sz val="10"/>
      <name val="Times New Roman"/>
      <family val="1"/>
    </font>
    <font>
      <b/>
      <i/>
      <sz val="12"/>
      <name val="Times New Roman"/>
      <family val="1"/>
    </font>
    <font>
      <sz val="11"/>
      <name val="Calibri"/>
      <family val="2"/>
      <scheme val="minor"/>
    </font>
    <font>
      <sz val="11"/>
      <color rgb="FFFF0000"/>
      <name val="Times New Roman"/>
      <family val="1"/>
    </font>
    <font>
      <sz val="11"/>
      <name val="Times New Roman"/>
      <family val="1"/>
      <charset val="163"/>
    </font>
    <font>
      <sz val="10"/>
      <name val="Times New Roman"/>
      <family val="1"/>
      <charset val="163"/>
    </font>
    <font>
      <i/>
      <sz val="10"/>
      <name val="Times New Roman"/>
      <family val="1"/>
      <charset val="163"/>
    </font>
    <font>
      <b/>
      <sz val="10"/>
      <color rgb="FFFF0000"/>
      <name val="Times New Roman"/>
      <family val="1"/>
      <charset val="163"/>
    </font>
    <font>
      <sz val="11"/>
      <color theme="0"/>
      <name val="Times New Roman"/>
      <family val="1"/>
    </font>
    <font>
      <i/>
      <sz val="10"/>
      <color rgb="FF000000"/>
      <name val="Arial"/>
      <family val="2"/>
    </font>
    <font>
      <i/>
      <sz val="11"/>
      <color theme="0"/>
      <name val="Times New Roman"/>
      <family val="1"/>
    </font>
    <font>
      <b/>
      <i/>
      <sz val="10"/>
      <name val="Times New Roman"/>
      <family val="1"/>
    </font>
    <font>
      <b/>
      <sz val="11"/>
      <name val="Times New Roman"/>
      <family val="1"/>
      <charset val="163"/>
    </font>
    <font>
      <sz val="11"/>
      <color rgb="FFFF0000"/>
      <name val="Times New Roman"/>
      <family val="1"/>
      <charset val="163"/>
    </font>
    <font>
      <i/>
      <sz val="10"/>
      <name val="Arial"/>
      <family val="2"/>
      <charset val="163"/>
    </font>
    <font>
      <sz val="11"/>
      <color theme="0"/>
      <name val="Times New Roman"/>
      <family val="1"/>
      <charset val="163"/>
    </font>
    <font>
      <i/>
      <sz val="11"/>
      <color theme="0"/>
      <name val="Times New Roman"/>
      <family val="1"/>
      <charset val="163"/>
    </font>
    <font>
      <b/>
      <i/>
      <sz val="10"/>
      <name val="Times New Roman"/>
      <family val="1"/>
      <charset val="163"/>
    </font>
    <font>
      <i/>
      <sz val="13"/>
      <color rgb="FFFF0000"/>
      <name val="Times New Roman"/>
      <family val="1"/>
    </font>
    <font>
      <sz val="12"/>
      <color theme="0"/>
      <name val="Times New Roman"/>
      <family val="1"/>
    </font>
    <font>
      <i/>
      <sz val="10"/>
      <name val="Arial"/>
      <family val="2"/>
    </font>
    <font>
      <sz val="12"/>
      <color rgb="FF0000FF"/>
      <name val="Times New Roman"/>
      <family val="1"/>
    </font>
    <font>
      <b/>
      <sz val="9"/>
      <color indexed="81"/>
      <name val="Tahoma"/>
      <family val="2"/>
    </font>
    <font>
      <b/>
      <sz val="11"/>
      <name val="Calibri"/>
      <family val="2"/>
      <scheme val="minor"/>
    </font>
    <font>
      <sz val="8"/>
      <name val="Calibri"/>
      <family val="2"/>
      <scheme val="minor"/>
    </font>
    <font>
      <sz val="14"/>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hair">
        <color auto="1"/>
      </top>
      <bottom/>
      <diagonal/>
    </border>
    <border>
      <left style="thin">
        <color indexed="64"/>
      </left>
      <right style="thin">
        <color rgb="FF000000"/>
      </right>
      <top style="hair">
        <color indexed="64"/>
      </top>
      <bottom style="thin">
        <color indexed="64"/>
      </bottom>
      <diagonal/>
    </border>
  </borders>
  <cellStyleXfs count="20">
    <xf numFmtId="0" fontId="0" fillId="0" borderId="0"/>
    <xf numFmtId="43" fontId="4"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19" fillId="0" borderId="0"/>
    <xf numFmtId="43" fontId="5" fillId="0" borderId="0" applyFont="0" applyFill="0" applyBorder="0" applyAlignment="0" applyProtection="0"/>
    <xf numFmtId="0" fontId="5" fillId="0" borderId="0"/>
    <xf numFmtId="0" fontId="3" fillId="0" borderId="0"/>
    <xf numFmtId="43" fontId="5" fillId="0" borderId="0" applyFont="0" applyFill="0" applyBorder="0" applyAlignment="0" applyProtection="0"/>
    <xf numFmtId="167" fontId="5" fillId="0" borderId="0" applyFill="0" applyBorder="0" applyAlignment="0" applyProtection="0"/>
    <xf numFmtId="167" fontId="5" fillId="0" borderId="0" applyFill="0" applyBorder="0" applyAlignment="0" applyProtection="0"/>
    <xf numFmtId="0" fontId="5" fillId="0" borderId="0"/>
    <xf numFmtId="9" fontId="4" fillId="0" borderId="0" applyFont="0" applyFill="0" applyBorder="0" applyAlignment="0" applyProtection="0"/>
    <xf numFmtId="9" fontId="2" fillId="0" borderId="0" applyFont="0" applyFill="0" applyBorder="0" applyAlignment="0" applyProtection="0"/>
    <xf numFmtId="164" fontId="4"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xf numFmtId="175" fontId="5" fillId="0" borderId="0" applyFont="0" applyFill="0" applyBorder="0" applyAlignment="0" applyProtection="0"/>
    <xf numFmtId="9" fontId="1" fillId="0" borderId="0" applyFont="0" applyFill="0" applyBorder="0" applyAlignment="0" applyProtection="0"/>
  </cellStyleXfs>
  <cellXfs count="377">
    <xf numFmtId="0" fontId="0" fillId="0" borderId="0" xfId="0"/>
    <xf numFmtId="0" fontId="15" fillId="0" borderId="0" xfId="0" applyFont="1" applyAlignment="1">
      <alignment horizontal="left" vertical="center"/>
    </xf>
    <xf numFmtId="0" fontId="9" fillId="0" borderId="0" xfId="0" applyFont="1" applyAlignment="1">
      <alignment horizontal="left"/>
    </xf>
    <xf numFmtId="0" fontId="13" fillId="0" borderId="4" xfId="0" applyFont="1" applyBorder="1" applyAlignment="1">
      <alignment horizontal="center" vertical="center" wrapText="1"/>
    </xf>
    <xf numFmtId="166" fontId="15" fillId="0" borderId="5" xfId="1" applyNumberFormat="1" applyFont="1" applyBorder="1" applyAlignment="1">
      <alignment vertical="center" wrapText="1"/>
    </xf>
    <xf numFmtId="165" fontId="15" fillId="0" borderId="5" xfId="1" applyNumberFormat="1" applyFont="1" applyBorder="1" applyAlignment="1">
      <alignment horizontal="center" vertical="center" wrapText="1"/>
    </xf>
    <xf numFmtId="166" fontId="15" fillId="0" borderId="0" xfId="0" applyNumberFormat="1" applyFont="1"/>
    <xf numFmtId="165" fontId="15" fillId="0" borderId="0" xfId="1" applyNumberFormat="1" applyFont="1"/>
    <xf numFmtId="165" fontId="13" fillId="0" borderId="0" xfId="1" applyNumberFormat="1" applyFont="1" applyAlignment="1">
      <alignment horizontal="left" vertical="center"/>
    </xf>
    <xf numFmtId="0" fontId="15" fillId="0" borderId="0" xfId="0" applyFont="1"/>
    <xf numFmtId="166" fontId="15" fillId="0" borderId="0" xfId="1" applyNumberFormat="1" applyFont="1"/>
    <xf numFmtId="0" fontId="18" fillId="0" borderId="0" xfId="0" applyFont="1" applyAlignment="1">
      <alignment horizontal="left" vertical="center"/>
    </xf>
    <xf numFmtId="166" fontId="13" fillId="0" borderId="4" xfId="1" applyNumberFormat="1" applyFont="1" applyBorder="1" applyAlignment="1">
      <alignment horizontal="center" vertical="center" wrapText="1"/>
    </xf>
    <xf numFmtId="166" fontId="15" fillId="0" borderId="5" xfId="1" applyNumberFormat="1" applyFont="1" applyBorder="1" applyAlignment="1">
      <alignment horizontal="center" vertical="center" wrapText="1"/>
    </xf>
    <xf numFmtId="166" fontId="15" fillId="2" borderId="5" xfId="1" applyNumberFormat="1" applyFont="1" applyFill="1" applyBorder="1" applyAlignment="1">
      <alignment horizontal="center" vertical="center" wrapText="1"/>
    </xf>
    <xf numFmtId="0" fontId="13" fillId="0" borderId="0" xfId="0" applyFont="1" applyAlignment="1">
      <alignment horizontal="left" vertical="center"/>
    </xf>
    <xf numFmtId="0" fontId="15" fillId="0" borderId="0" xfId="0" applyFont="1" applyAlignment="1">
      <alignment vertical="center"/>
    </xf>
    <xf numFmtId="0" fontId="23" fillId="0" borderId="0" xfId="0" applyFont="1"/>
    <xf numFmtId="0" fontId="15" fillId="0" borderId="6" xfId="0" applyFont="1" applyBorder="1" applyAlignment="1">
      <alignment horizontal="center" vertical="center" wrapText="1"/>
    </xf>
    <xf numFmtId="0" fontId="15" fillId="0" borderId="6" xfId="0" applyFont="1" applyBorder="1" applyAlignment="1">
      <alignment vertical="center" wrapText="1"/>
    </xf>
    <xf numFmtId="166" fontId="15" fillId="0" borderId="6" xfId="1" applyNumberFormat="1" applyFont="1" applyBorder="1" applyAlignment="1">
      <alignment horizontal="center" vertical="center" wrapText="1"/>
    </xf>
    <xf numFmtId="0" fontId="9" fillId="0" borderId="0" xfId="0" applyFont="1"/>
    <xf numFmtId="0" fontId="25" fillId="0" borderId="0" xfId="0" applyFont="1"/>
    <xf numFmtId="0" fontId="15" fillId="0" borderId="0" xfId="0" applyFont="1" applyAlignment="1">
      <alignment horizontal="left"/>
    </xf>
    <xf numFmtId="166" fontId="13" fillId="2" borderId="4" xfId="1" applyNumberFormat="1" applyFont="1" applyFill="1" applyBorder="1" applyAlignment="1">
      <alignment horizontal="center" vertical="center" wrapText="1"/>
    </xf>
    <xf numFmtId="165" fontId="15" fillId="2" borderId="5" xfId="1" applyNumberFormat="1" applyFont="1" applyFill="1" applyBorder="1" applyAlignment="1">
      <alignment horizontal="center" vertical="center" wrapText="1"/>
    </xf>
    <xf numFmtId="166" fontId="15" fillId="2" borderId="6" xfId="1" applyNumberFormat="1" applyFont="1" applyFill="1" applyBorder="1" applyAlignment="1">
      <alignment horizontal="center" vertical="center" wrapText="1"/>
    </xf>
    <xf numFmtId="166" fontId="13" fillId="0" borderId="0" xfId="1" applyNumberFormat="1" applyFont="1" applyFill="1"/>
    <xf numFmtId="0" fontId="13" fillId="0" borderId="0" xfId="0" applyFont="1"/>
    <xf numFmtId="166" fontId="15" fillId="0" borderId="0" xfId="1" applyNumberFormat="1" applyFont="1" applyFill="1"/>
    <xf numFmtId="166" fontId="13" fillId="0" borderId="0" xfId="0" applyNumberFormat="1" applyFont="1"/>
    <xf numFmtId="0" fontId="15" fillId="0" borderId="0" xfId="0" applyFont="1" applyAlignment="1">
      <alignment horizontal="center" vertical="center"/>
    </xf>
    <xf numFmtId="0" fontId="13" fillId="0" borderId="1" xfId="0" applyFont="1" applyBorder="1" applyAlignment="1">
      <alignment horizontal="center" vertical="center" wrapText="1"/>
    </xf>
    <xf numFmtId="0" fontId="15" fillId="0" borderId="5" xfId="0" applyFont="1" applyBorder="1" applyAlignment="1">
      <alignment vertical="center" wrapText="1"/>
    </xf>
    <xf numFmtId="0" fontId="15" fillId="0" borderId="5" xfId="0" applyFont="1" applyBorder="1" applyAlignment="1">
      <alignment horizontal="center" vertical="center" wrapText="1"/>
    </xf>
    <xf numFmtId="0" fontId="29" fillId="0" borderId="0" xfId="0" applyFont="1" applyAlignment="1">
      <alignment horizontal="left" vertical="center"/>
    </xf>
    <xf numFmtId="0" fontId="15" fillId="0" borderId="9" xfId="0" applyFont="1" applyBorder="1" applyAlignment="1">
      <alignment vertical="center" wrapText="1"/>
    </xf>
    <xf numFmtId="0" fontId="11" fillId="0" borderId="9" xfId="0" applyFont="1" applyBorder="1" applyAlignment="1">
      <alignmen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vertical="center" wrapText="1"/>
    </xf>
    <xf numFmtId="0" fontId="11"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0" xfId="0" applyFont="1" applyBorder="1" applyAlignment="1">
      <alignment vertical="center" wrapText="1"/>
    </xf>
    <xf numFmtId="0" fontId="15" fillId="0" borderId="1" xfId="0" applyFont="1" applyBorder="1" applyAlignment="1">
      <alignment horizontal="center" vertical="center" wrapText="1"/>
    </xf>
    <xf numFmtId="165" fontId="15" fillId="0" borderId="0" xfId="1" applyNumberFormat="1" applyFont="1" applyFill="1"/>
    <xf numFmtId="0" fontId="13" fillId="0" borderId="0" xfId="0" applyFont="1" applyAlignment="1">
      <alignment vertical="center"/>
    </xf>
    <xf numFmtId="0" fontId="21" fillId="0" borderId="0" xfId="0" applyFont="1" applyAlignment="1">
      <alignment vertical="center"/>
    </xf>
    <xf numFmtId="3" fontId="21" fillId="0" borderId="0" xfId="0" applyNumberFormat="1" applyFont="1" applyAlignment="1">
      <alignment vertical="center"/>
    </xf>
    <xf numFmtId="3" fontId="22" fillId="0" borderId="0" xfId="0" applyNumberFormat="1" applyFont="1" applyAlignment="1">
      <alignment vertical="center"/>
    </xf>
    <xf numFmtId="0" fontId="22" fillId="0" borderId="0" xfId="0" applyFont="1" applyAlignment="1">
      <alignment vertical="center"/>
    </xf>
    <xf numFmtId="0" fontId="32" fillId="0" borderId="0" xfId="0" applyFont="1" applyAlignment="1">
      <alignment vertical="center"/>
    </xf>
    <xf numFmtId="0" fontId="14" fillId="0" borderId="0" xfId="0" applyFont="1" applyAlignment="1">
      <alignment horizontal="left" vertical="center"/>
    </xf>
    <xf numFmtId="166" fontId="13" fillId="0" borderId="0" xfId="1" applyNumberFormat="1" applyFont="1" applyFill="1" applyAlignment="1">
      <alignment vertical="center"/>
    </xf>
    <xf numFmtId="166" fontId="13" fillId="0" borderId="0" xfId="0" applyNumberFormat="1" applyFont="1" applyAlignment="1">
      <alignment vertical="center"/>
    </xf>
    <xf numFmtId="166" fontId="15" fillId="0" borderId="0" xfId="0" applyNumberFormat="1" applyFont="1" applyAlignment="1">
      <alignment vertical="center"/>
    </xf>
    <xf numFmtId="170" fontId="15" fillId="0" borderId="0" xfId="0" applyNumberFormat="1" applyFont="1" applyAlignment="1">
      <alignment vertical="center"/>
    </xf>
    <xf numFmtId="0" fontId="33" fillId="0" borderId="0" xfId="0" applyFont="1"/>
    <xf numFmtId="0" fontId="10" fillId="0" borderId="9" xfId="0" applyFont="1" applyBorder="1" applyAlignment="1">
      <alignment horizontal="center" vertical="center" wrapText="1"/>
    </xf>
    <xf numFmtId="0" fontId="10" fillId="0" borderId="9" xfId="0" applyFont="1" applyBorder="1" applyAlignment="1">
      <alignment vertical="center" wrapText="1"/>
    </xf>
    <xf numFmtId="0" fontId="10" fillId="0" borderId="10"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9" xfId="0" applyFont="1" applyBorder="1" applyAlignment="1">
      <alignment vertical="center" wrapText="1"/>
    </xf>
    <xf numFmtId="0" fontId="17" fillId="0" borderId="0" xfId="0" applyFont="1" applyAlignment="1">
      <alignment horizontal="left" vertical="center"/>
    </xf>
    <xf numFmtId="0" fontId="11" fillId="0" borderId="0" xfId="0" applyFont="1"/>
    <xf numFmtId="0" fontId="36" fillId="0" borderId="0" xfId="0" applyFont="1" applyAlignment="1">
      <alignment vertical="center" wrapText="1"/>
    </xf>
    <xf numFmtId="166" fontId="35" fillId="0" borderId="0" xfId="0" applyNumberFormat="1" applyFont="1" applyAlignment="1">
      <alignment horizontal="center" vertical="center" wrapText="1"/>
    </xf>
    <xf numFmtId="0" fontId="12" fillId="0" borderId="0" xfId="0" applyFont="1"/>
    <xf numFmtId="0" fontId="12"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20" fillId="0" borderId="0" xfId="0" applyFont="1"/>
    <xf numFmtId="0" fontId="26"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6" fillId="0" borderId="0" xfId="0" applyFont="1"/>
    <xf numFmtId="166" fontId="13" fillId="0" borderId="8" xfId="1" applyNumberFormat="1" applyFont="1" applyFill="1" applyBorder="1" applyAlignment="1">
      <alignment horizontal="center" vertical="center" wrapText="1"/>
    </xf>
    <xf numFmtId="166" fontId="13" fillId="0" borderId="9" xfId="1" applyNumberFormat="1" applyFont="1" applyFill="1" applyBorder="1" applyAlignment="1">
      <alignment horizontal="center" vertical="center" wrapText="1"/>
    </xf>
    <xf numFmtId="165" fontId="13" fillId="0" borderId="9" xfId="1" applyNumberFormat="1" applyFont="1" applyFill="1" applyBorder="1" applyAlignment="1">
      <alignment horizontal="center" vertical="center" wrapText="1"/>
    </xf>
    <xf numFmtId="166" fontId="13" fillId="0" borderId="9" xfId="1" applyNumberFormat="1" applyFont="1" applyFill="1" applyBorder="1" applyAlignment="1">
      <alignment vertical="center" wrapText="1"/>
    </xf>
    <xf numFmtId="3" fontId="13" fillId="0" borderId="0" xfId="0" applyNumberFormat="1" applyFont="1" applyAlignment="1">
      <alignment vertical="center"/>
    </xf>
    <xf numFmtId="165" fontId="15" fillId="0" borderId="9" xfId="6" quotePrefix="1" applyNumberFormat="1" applyFont="1" applyFill="1" applyBorder="1" applyAlignment="1">
      <alignment horizontal="center" vertical="center" wrapText="1"/>
    </xf>
    <xf numFmtId="166" fontId="15" fillId="0" borderId="9" xfId="6" applyNumberFormat="1" applyFont="1" applyFill="1" applyBorder="1" applyAlignment="1">
      <alignment horizontal="left" vertical="center" wrapText="1"/>
    </xf>
    <xf numFmtId="166" fontId="15" fillId="0" borderId="9" xfId="1" applyNumberFormat="1" applyFont="1" applyFill="1" applyBorder="1" applyAlignment="1">
      <alignment horizontal="center" vertical="center" wrapText="1"/>
    </xf>
    <xf numFmtId="166" fontId="15" fillId="0" borderId="9" xfId="1" applyNumberFormat="1" applyFont="1" applyFill="1" applyBorder="1" applyAlignment="1">
      <alignment vertical="center"/>
    </xf>
    <xf numFmtId="165" fontId="15" fillId="0" borderId="9" xfId="1" applyNumberFormat="1" applyFont="1" applyFill="1" applyBorder="1" applyAlignment="1">
      <alignment horizontal="center" vertical="center" wrapText="1"/>
    </xf>
    <xf numFmtId="166" fontId="15" fillId="0" borderId="9" xfId="6" quotePrefix="1" applyNumberFormat="1" applyFont="1" applyFill="1" applyBorder="1" applyAlignment="1">
      <alignment horizontal="center" vertical="center"/>
    </xf>
    <xf numFmtId="0" fontId="15" fillId="0" borderId="9" xfId="7" applyFont="1" applyBorder="1" applyAlignment="1">
      <alignment vertical="center" wrapText="1"/>
    </xf>
    <xf numFmtId="166" fontId="15" fillId="0" borderId="9" xfId="6" applyNumberFormat="1" applyFont="1" applyFill="1" applyBorder="1" applyAlignment="1">
      <alignment vertical="center" wrapText="1"/>
    </xf>
    <xf numFmtId="166" fontId="15" fillId="0" borderId="9" xfId="1" applyNumberFormat="1" applyFont="1" applyFill="1" applyBorder="1" applyAlignment="1">
      <alignment horizontal="right" vertical="center" wrapText="1"/>
    </xf>
    <xf numFmtId="3" fontId="15" fillId="0" borderId="9" xfId="1" applyNumberFormat="1" applyFont="1" applyFill="1" applyBorder="1" applyAlignment="1">
      <alignment horizontal="right" vertical="center" wrapText="1"/>
    </xf>
    <xf numFmtId="0" fontId="15" fillId="0" borderId="9" xfId="0" applyFont="1" applyBorder="1" applyAlignment="1" applyProtection="1">
      <alignment horizontal="left" vertical="center" wrapText="1"/>
      <protection locked="0"/>
    </xf>
    <xf numFmtId="3" fontId="15" fillId="0" borderId="9" xfId="4" applyNumberFormat="1" applyFont="1" applyBorder="1" applyAlignment="1">
      <alignment vertical="center" wrapText="1"/>
    </xf>
    <xf numFmtId="0" fontId="15" fillId="0" borderId="9" xfId="4" applyFont="1" applyBorder="1" applyAlignment="1">
      <alignment vertical="center" wrapText="1"/>
    </xf>
    <xf numFmtId="0" fontId="15" fillId="0" borderId="9" xfId="0" applyFont="1" applyBorder="1" applyAlignment="1">
      <alignment horizontal="left" vertical="center" wrapText="1"/>
    </xf>
    <xf numFmtId="166" fontId="13" fillId="0" borderId="9" xfId="1" quotePrefix="1" applyNumberFormat="1" applyFont="1" applyFill="1" applyBorder="1" applyAlignment="1">
      <alignment horizontal="center" vertical="center" wrapText="1"/>
    </xf>
    <xf numFmtId="3" fontId="13" fillId="0" borderId="9" xfId="4" applyNumberFormat="1" applyFont="1" applyBorder="1" applyAlignment="1">
      <alignment horizontal="left" vertical="center" wrapText="1"/>
    </xf>
    <xf numFmtId="166" fontId="15" fillId="0" borderId="9" xfId="1" quotePrefix="1" applyNumberFormat="1" applyFont="1" applyFill="1" applyBorder="1" applyAlignment="1">
      <alignment horizontal="center" vertical="center" wrapText="1"/>
    </xf>
    <xf numFmtId="166" fontId="15" fillId="0" borderId="9" xfId="1" applyNumberFormat="1" applyFont="1" applyFill="1" applyBorder="1" applyAlignment="1">
      <alignment horizontal="left" vertical="center" wrapText="1"/>
    </xf>
    <xf numFmtId="166" fontId="13" fillId="0" borderId="9" xfId="1" applyNumberFormat="1" applyFont="1" applyFill="1" applyBorder="1" applyAlignment="1">
      <alignment horizontal="left" vertical="center" wrapText="1"/>
    </xf>
    <xf numFmtId="166" fontId="13" fillId="0" borderId="9" xfId="1" applyNumberFormat="1" applyFont="1" applyFill="1" applyBorder="1" applyAlignment="1">
      <alignment vertical="center"/>
    </xf>
    <xf numFmtId="0" fontId="13" fillId="0" borderId="9" xfId="0" applyFont="1" applyBorder="1" applyAlignment="1">
      <alignment horizontal="center" vertical="center" wrapText="1"/>
    </xf>
    <xf numFmtId="0" fontId="13" fillId="0" borderId="9" xfId="0" applyFont="1" applyBorder="1" applyAlignment="1">
      <alignment vertical="center" wrapText="1"/>
    </xf>
    <xf numFmtId="0" fontId="13" fillId="0" borderId="14" xfId="0" applyFont="1" applyBorder="1" applyAlignment="1">
      <alignment horizontal="center" vertical="center" wrapText="1"/>
    </xf>
    <xf numFmtId="0" fontId="13" fillId="0" borderId="14" xfId="0" applyFont="1" applyBorder="1" applyAlignment="1">
      <alignment vertical="center" wrapText="1"/>
    </xf>
    <xf numFmtId="166" fontId="13" fillId="0" borderId="14" xfId="1" applyNumberFormat="1" applyFont="1" applyFill="1" applyBorder="1" applyAlignment="1">
      <alignment horizontal="center" vertical="center" wrapText="1"/>
    </xf>
    <xf numFmtId="166" fontId="13" fillId="0" borderId="14" xfId="1" applyNumberFormat="1" applyFont="1" applyFill="1" applyBorder="1" applyAlignment="1">
      <alignment vertical="center"/>
    </xf>
    <xf numFmtId="0" fontId="13" fillId="0" borderId="10" xfId="0" applyFont="1" applyBorder="1" applyAlignment="1">
      <alignment horizontal="center" vertical="center" wrapText="1"/>
    </xf>
    <xf numFmtId="0" fontId="13" fillId="0" borderId="10" xfId="0" applyFont="1" applyBorder="1" applyAlignment="1">
      <alignment vertical="center" wrapText="1"/>
    </xf>
    <xf numFmtId="166" fontId="13" fillId="0" borderId="10" xfId="1" applyNumberFormat="1" applyFont="1" applyFill="1" applyBorder="1" applyAlignment="1">
      <alignment horizontal="center" vertical="center" wrapText="1"/>
    </xf>
    <xf numFmtId="166" fontId="13" fillId="0" borderId="10" xfId="1" applyNumberFormat="1" applyFont="1" applyFill="1" applyBorder="1" applyAlignment="1">
      <alignment vertical="center"/>
    </xf>
    <xf numFmtId="165" fontId="15" fillId="0" borderId="10" xfId="1" applyNumberFormat="1" applyFont="1" applyFill="1" applyBorder="1" applyAlignment="1">
      <alignment horizontal="center" vertical="center" wrapText="1"/>
    </xf>
    <xf numFmtId="0" fontId="39" fillId="0" borderId="0" xfId="0" applyFont="1"/>
    <xf numFmtId="165" fontId="13" fillId="2" borderId="4" xfId="1" applyNumberFormat="1" applyFont="1" applyFill="1" applyBorder="1" applyAlignment="1">
      <alignment horizontal="center" vertical="center" wrapText="1"/>
    </xf>
    <xf numFmtId="165" fontId="13" fillId="0" borderId="4" xfId="1" applyNumberFormat="1" applyFont="1" applyBorder="1" applyAlignment="1">
      <alignment horizontal="center" vertical="center" wrapText="1"/>
    </xf>
    <xf numFmtId="0" fontId="10" fillId="0" borderId="0" xfId="0" applyFont="1" applyAlignment="1">
      <alignment vertical="center"/>
    </xf>
    <xf numFmtId="0" fontId="40" fillId="0" borderId="0" xfId="0" applyFont="1"/>
    <xf numFmtId="0" fontId="23" fillId="0" borderId="0" xfId="0" applyFont="1" applyAlignment="1">
      <alignment vertical="center"/>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3" fontId="16" fillId="0" borderId="9" xfId="15" applyNumberFormat="1" applyFont="1" applyFill="1" applyBorder="1" applyAlignment="1">
      <alignment vertical="center" wrapText="1"/>
    </xf>
    <xf numFmtId="3" fontId="16" fillId="0" borderId="9" xfId="0" applyNumberFormat="1" applyFont="1" applyBorder="1" applyAlignment="1">
      <alignment vertical="center" wrapText="1"/>
    </xf>
    <xf numFmtId="3" fontId="23" fillId="0" borderId="0" xfId="0" applyNumberFormat="1" applyFont="1"/>
    <xf numFmtId="3" fontId="16" fillId="0" borderId="10" xfId="15" applyNumberFormat="1" applyFont="1" applyFill="1" applyBorder="1" applyAlignment="1">
      <alignment vertical="center" wrapText="1"/>
    </xf>
    <xf numFmtId="3" fontId="16" fillId="0" borderId="10" xfId="0" applyNumberFormat="1" applyFont="1" applyBorder="1" applyAlignment="1">
      <alignment vertical="center" wrapText="1"/>
    </xf>
    <xf numFmtId="169" fontId="11" fillId="0" borderId="0" xfId="0" applyNumberFormat="1" applyFont="1"/>
    <xf numFmtId="0" fontId="12" fillId="0" borderId="0" xfId="0" applyFont="1" applyAlignment="1">
      <alignment vertical="center"/>
    </xf>
    <xf numFmtId="0" fontId="11" fillId="0" borderId="0" xfId="0" applyFont="1" applyAlignment="1">
      <alignment vertical="center"/>
    </xf>
    <xf numFmtId="3" fontId="11" fillId="0" borderId="0" xfId="0" applyNumberFormat="1" applyFont="1" applyAlignment="1">
      <alignment vertical="center"/>
    </xf>
    <xf numFmtId="165" fontId="12" fillId="0" borderId="0" xfId="1" applyNumberFormat="1" applyFont="1" applyAlignment="1">
      <alignment horizontal="left" vertical="center"/>
    </xf>
    <xf numFmtId="0" fontId="11" fillId="0" borderId="1" xfId="0" applyFont="1" applyBorder="1" applyAlignment="1">
      <alignment horizontal="center" vertical="center" wrapText="1"/>
    </xf>
    <xf numFmtId="166" fontId="16" fillId="0" borderId="0" xfId="1" applyNumberFormat="1" applyFont="1" applyBorder="1" applyAlignment="1">
      <alignment horizontal="center" vertical="center" wrapText="1"/>
    </xf>
    <xf numFmtId="0" fontId="13" fillId="2" borderId="0" xfId="0" applyFont="1" applyFill="1" applyAlignment="1">
      <alignment vertical="center"/>
    </xf>
    <xf numFmtId="166" fontId="15" fillId="2" borderId="0" xfId="0" applyNumberFormat="1" applyFont="1" applyFill="1" applyAlignment="1">
      <alignment vertical="center"/>
    </xf>
    <xf numFmtId="0" fontId="12" fillId="0" borderId="12" xfId="0" applyFont="1" applyBorder="1" applyAlignment="1">
      <alignment horizontal="center" vertical="center" wrapText="1"/>
    </xf>
    <xf numFmtId="0" fontId="35" fillId="0" borderId="0" xfId="0" applyFont="1" applyAlignment="1">
      <alignment horizontal="center" vertical="center" wrapText="1"/>
    </xf>
    <xf numFmtId="0" fontId="15" fillId="2" borderId="0" xfId="0" applyFont="1" applyFill="1" applyAlignment="1">
      <alignment vertical="center"/>
    </xf>
    <xf numFmtId="0" fontId="13" fillId="0" borderId="2" xfId="0" applyFont="1" applyBorder="1" applyAlignment="1">
      <alignment horizontal="center" vertical="center" wrapText="1"/>
    </xf>
    <xf numFmtId="0" fontId="10" fillId="0" borderId="10" xfId="0" applyFont="1" applyBorder="1" applyAlignment="1">
      <alignment vertical="center" wrapText="1"/>
    </xf>
    <xf numFmtId="0" fontId="15"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29" fillId="0" borderId="8" xfId="0" applyFont="1" applyBorder="1" applyAlignment="1">
      <alignment horizontal="center" vertical="center" wrapText="1"/>
    </xf>
    <xf numFmtId="3" fontId="20" fillId="0" borderId="8" xfId="0" applyNumberFormat="1" applyFont="1" applyBorder="1" applyAlignment="1">
      <alignment horizontal="right" vertical="center" wrapText="1"/>
    </xf>
    <xf numFmtId="3" fontId="20" fillId="0" borderId="9" xfId="0" applyNumberFormat="1" applyFont="1" applyBorder="1" applyAlignment="1">
      <alignment horizontal="right" vertical="center" wrapText="1"/>
    </xf>
    <xf numFmtId="169" fontId="20" fillId="0" borderId="9" xfId="15" applyNumberFormat="1" applyFont="1" applyFill="1" applyBorder="1" applyAlignment="1">
      <alignment horizontal="right" vertical="center" wrapText="1"/>
    </xf>
    <xf numFmtId="0" fontId="13" fillId="0" borderId="0" xfId="0" applyFont="1" applyAlignment="1">
      <alignment horizontal="center" vertical="center"/>
    </xf>
    <xf numFmtId="0" fontId="18" fillId="0" borderId="0" xfId="0" applyFont="1" applyAlignment="1">
      <alignment horizontal="right" vertical="center"/>
    </xf>
    <xf numFmtId="43" fontId="11" fillId="0" borderId="0" xfId="1" applyFont="1"/>
    <xf numFmtId="166" fontId="11" fillId="0" borderId="0" xfId="0" applyNumberFormat="1" applyFont="1"/>
    <xf numFmtId="0" fontId="16" fillId="0" borderId="9" xfId="0" applyFont="1" applyBorder="1" applyAlignment="1">
      <alignment horizontal="center" vertical="center" wrapText="1"/>
    </xf>
    <xf numFmtId="0" fontId="16" fillId="0" borderId="9" xfId="0" applyFont="1" applyBorder="1" applyAlignment="1">
      <alignment vertical="center" wrapText="1"/>
    </xf>
    <xf numFmtId="0" fontId="15" fillId="0" borderId="9" xfId="0" applyFont="1" applyBorder="1" applyAlignment="1">
      <alignment horizontal="center" vertical="center" wrapText="1"/>
    </xf>
    <xf numFmtId="0" fontId="20" fillId="0" borderId="9" xfId="0" applyFont="1" applyBorder="1" applyAlignment="1">
      <alignment vertical="center" wrapText="1"/>
    </xf>
    <xf numFmtId="0" fontId="18" fillId="0" borderId="0" xfId="0" applyFont="1"/>
    <xf numFmtId="166" fontId="18" fillId="0" borderId="0" xfId="1" applyNumberFormat="1" applyFont="1"/>
    <xf numFmtId="0" fontId="42" fillId="0" borderId="9" xfId="0" applyFont="1" applyBorder="1" applyAlignment="1">
      <alignment horizontal="center" vertical="center" wrapText="1"/>
    </xf>
    <xf numFmtId="0" fontId="42" fillId="0" borderId="9" xfId="0" applyFont="1" applyBorder="1" applyAlignment="1">
      <alignment vertical="center" wrapText="1"/>
    </xf>
    <xf numFmtId="0" fontId="36" fillId="0" borderId="9" xfId="0" applyFont="1" applyBorder="1" applyAlignment="1">
      <alignment horizontal="center" vertical="center" wrapText="1"/>
    </xf>
    <xf numFmtId="0" fontId="36" fillId="0" borderId="9" xfId="0" applyFont="1" applyBorder="1" applyAlignment="1">
      <alignment vertical="center" wrapText="1"/>
    </xf>
    <xf numFmtId="0" fontId="20" fillId="0" borderId="9" xfId="0" applyFont="1" applyBorder="1" applyAlignment="1">
      <alignment horizontal="center" vertical="center" wrapText="1"/>
    </xf>
    <xf numFmtId="3" fontId="36" fillId="0" borderId="9" xfId="5" applyNumberFormat="1" applyFont="1" applyBorder="1" applyAlignment="1">
      <alignment vertical="center" wrapText="1"/>
    </xf>
    <xf numFmtId="0" fontId="42" fillId="0" borderId="9" xfId="0" quotePrefix="1" applyFont="1" applyBorder="1" applyAlignment="1">
      <alignment horizontal="center" vertical="center" wrapText="1"/>
    </xf>
    <xf numFmtId="0" fontId="42" fillId="0" borderId="9" xfId="0" applyFont="1" applyBorder="1" applyAlignment="1">
      <alignment horizontal="left" vertical="center" wrapText="1"/>
    </xf>
    <xf numFmtId="0" fontId="36" fillId="0" borderId="10" xfId="0" applyFont="1" applyBorder="1" applyAlignment="1">
      <alignment horizontal="center" vertical="center" wrapText="1"/>
    </xf>
    <xf numFmtId="0" fontId="36" fillId="0" borderId="10" xfId="0" applyFont="1" applyBorder="1" applyAlignment="1">
      <alignment vertical="center" wrapText="1"/>
    </xf>
    <xf numFmtId="3" fontId="20" fillId="0" borderId="9" xfId="1" applyNumberFormat="1" applyFont="1" applyFill="1" applyBorder="1" applyAlignment="1">
      <alignment horizontal="right" vertical="center" wrapText="1"/>
    </xf>
    <xf numFmtId="3" fontId="16" fillId="0" borderId="9" xfId="1" applyNumberFormat="1" applyFont="1" applyFill="1" applyBorder="1" applyAlignment="1">
      <alignment horizontal="right" vertical="center" wrapText="1"/>
    </xf>
    <xf numFmtId="0" fontId="45" fillId="0" borderId="0" xfId="0" applyFont="1" applyAlignment="1">
      <alignment vertical="center"/>
    </xf>
    <xf numFmtId="3" fontId="45" fillId="0" borderId="0" xfId="0" applyNumberFormat="1" applyFont="1" applyAlignment="1">
      <alignment vertical="center"/>
    </xf>
    <xf numFmtId="0" fontId="20" fillId="0" borderId="8" xfId="0" applyFont="1" applyBorder="1" applyAlignment="1">
      <alignment horizontal="center" vertical="center" wrapText="1"/>
    </xf>
    <xf numFmtId="0" fontId="20" fillId="0" borderId="8" xfId="0" applyFont="1" applyBorder="1" applyAlignment="1">
      <alignment vertical="center" wrapText="1"/>
    </xf>
    <xf numFmtId="165" fontId="20" fillId="0" borderId="8" xfId="1" applyNumberFormat="1" applyFont="1" applyFill="1" applyBorder="1" applyAlignment="1">
      <alignment horizontal="center" vertical="center" wrapText="1"/>
    </xf>
    <xf numFmtId="3" fontId="20" fillId="0" borderId="9" xfId="0" applyNumberFormat="1" applyFont="1" applyBorder="1" applyAlignment="1">
      <alignment vertical="center" wrapText="1"/>
    </xf>
    <xf numFmtId="165" fontId="20" fillId="0" borderId="9" xfId="1" applyNumberFormat="1" applyFont="1" applyFill="1" applyBorder="1" applyAlignment="1">
      <alignment horizontal="center" vertical="center" wrapText="1"/>
    </xf>
    <xf numFmtId="3" fontId="20" fillId="0" borderId="9" xfId="1" applyNumberFormat="1" applyFont="1" applyFill="1" applyBorder="1" applyAlignment="1">
      <alignment vertical="center" wrapText="1"/>
    </xf>
    <xf numFmtId="3" fontId="16" fillId="0" borderId="9" xfId="0" applyNumberFormat="1" applyFont="1" applyBorder="1" applyAlignment="1">
      <alignment horizontal="right" vertical="center" wrapText="1"/>
    </xf>
    <xf numFmtId="166" fontId="16" fillId="0" borderId="9" xfId="0" applyNumberFormat="1" applyFont="1" applyBorder="1" applyAlignment="1">
      <alignment horizontal="center" vertical="center" wrapText="1"/>
    </xf>
    <xf numFmtId="165" fontId="16" fillId="0" borderId="9" xfId="1" applyNumberFormat="1" applyFont="1" applyFill="1" applyBorder="1" applyAlignment="1">
      <alignment horizontal="center" vertical="center" wrapText="1"/>
    </xf>
    <xf numFmtId="0" fontId="37" fillId="0" borderId="9" xfId="0" applyFont="1" applyBorder="1" applyAlignment="1">
      <alignment horizontal="center" vertical="center" wrapText="1"/>
    </xf>
    <xf numFmtId="0" fontId="37" fillId="0" borderId="9" xfId="0" applyFont="1" applyBorder="1" applyAlignment="1">
      <alignment vertical="center" wrapText="1"/>
    </xf>
    <xf numFmtId="3" fontId="37" fillId="0" borderId="9" xfId="0" applyNumberFormat="1" applyFont="1" applyBorder="1" applyAlignment="1">
      <alignment horizontal="right" vertical="center" wrapText="1"/>
    </xf>
    <xf numFmtId="3" fontId="37" fillId="0" borderId="9" xfId="0" applyNumberFormat="1" applyFont="1" applyBorder="1" applyAlignment="1">
      <alignment vertical="center" wrapText="1"/>
    </xf>
    <xf numFmtId="3" fontId="37" fillId="0" borderId="9" xfId="1" applyNumberFormat="1" applyFont="1" applyFill="1" applyBorder="1" applyAlignment="1">
      <alignment horizontal="right" vertical="center" wrapText="1"/>
    </xf>
    <xf numFmtId="165" fontId="37" fillId="0" borderId="9" xfId="1" applyNumberFormat="1" applyFont="1" applyFill="1" applyBorder="1" applyAlignment="1">
      <alignment horizontal="center" vertical="center" wrapText="1"/>
    </xf>
    <xf numFmtId="3" fontId="47" fillId="0" borderId="0" xfId="0" applyNumberFormat="1" applyFont="1" applyAlignment="1">
      <alignment vertical="center"/>
    </xf>
    <xf numFmtId="3" fontId="14" fillId="0" borderId="0" xfId="0" applyNumberFormat="1" applyFont="1" applyAlignment="1">
      <alignment vertical="center"/>
    </xf>
    <xf numFmtId="0" fontId="14" fillId="0" borderId="0" xfId="0" applyFont="1" applyAlignment="1">
      <alignment vertical="center"/>
    </xf>
    <xf numFmtId="166" fontId="37" fillId="0" borderId="9" xfId="0" applyNumberFormat="1" applyFont="1" applyBorder="1" applyAlignment="1">
      <alignment horizontal="center" vertical="center" wrapText="1"/>
    </xf>
    <xf numFmtId="166" fontId="20" fillId="0" borderId="9" xfId="0" applyNumberFormat="1" applyFont="1" applyBorder="1" applyAlignment="1">
      <alignment horizontal="center" vertical="center" wrapText="1"/>
    </xf>
    <xf numFmtId="0" fontId="16" fillId="0" borderId="9" xfId="4" applyFont="1" applyBorder="1" applyAlignment="1">
      <alignment vertical="center" wrapText="1"/>
    </xf>
    <xf numFmtId="3" fontId="16" fillId="0" borderId="9" xfId="5" applyNumberFormat="1" applyFont="1" applyBorder="1" applyAlignment="1">
      <alignment vertical="center" wrapText="1"/>
    </xf>
    <xf numFmtId="3" fontId="16" fillId="0" borderId="9" xfId="4" applyNumberFormat="1" applyFont="1" applyBorder="1" applyAlignment="1">
      <alignment vertical="center" wrapText="1"/>
    </xf>
    <xf numFmtId="0" fontId="16" fillId="0" borderId="9" xfId="8" applyFont="1" applyBorder="1" applyAlignment="1">
      <alignment vertical="center" wrapText="1"/>
    </xf>
    <xf numFmtId="0" fontId="20" fillId="0" borderId="10" xfId="0" applyFont="1" applyBorder="1" applyAlignment="1">
      <alignment horizontal="center" vertical="center" wrapText="1"/>
    </xf>
    <xf numFmtId="0" fontId="20" fillId="0" borderId="10" xfId="0" applyFont="1" applyBorder="1" applyAlignment="1">
      <alignment vertical="center" wrapText="1"/>
    </xf>
    <xf numFmtId="3" fontId="20" fillId="0" borderId="10" xfId="0" applyNumberFormat="1" applyFont="1" applyBorder="1" applyAlignment="1">
      <alignment horizontal="right" vertical="center" wrapText="1"/>
    </xf>
    <xf numFmtId="165" fontId="20" fillId="0" borderId="10" xfId="1" applyNumberFormat="1" applyFont="1" applyFill="1" applyBorder="1" applyAlignment="1">
      <alignment horizontal="center" vertical="center" wrapText="1"/>
    </xf>
    <xf numFmtId="0" fontId="34" fillId="0" borderId="0" xfId="0" applyFont="1" applyAlignment="1">
      <alignment vertical="center"/>
    </xf>
    <xf numFmtId="166" fontId="11" fillId="0" borderId="0" xfId="1" applyNumberFormat="1" applyFont="1" applyAlignment="1">
      <alignment vertical="center"/>
    </xf>
    <xf numFmtId="166" fontId="11" fillId="0" borderId="0" xfId="0" applyNumberFormat="1" applyFont="1" applyAlignment="1">
      <alignment vertical="center"/>
    </xf>
    <xf numFmtId="0" fontId="49" fillId="0" borderId="0" xfId="0" applyFont="1" applyAlignment="1">
      <alignment horizontal="center" vertical="center"/>
    </xf>
    <xf numFmtId="0" fontId="41" fillId="0" borderId="0" xfId="0" applyFont="1" applyAlignment="1">
      <alignment vertical="center"/>
    </xf>
    <xf numFmtId="0" fontId="49" fillId="0" borderId="0" xfId="0" applyFont="1" applyAlignment="1">
      <alignment vertical="center"/>
    </xf>
    <xf numFmtId="0" fontId="44" fillId="0" borderId="0" xfId="0" applyFont="1" applyAlignment="1">
      <alignment horizontal="center" vertical="center"/>
    </xf>
    <xf numFmtId="0" fontId="50" fillId="0" borderId="0" xfId="0" applyFont="1" applyAlignment="1">
      <alignment vertical="center"/>
    </xf>
    <xf numFmtId="0" fontId="36" fillId="0" borderId="1" xfId="0" applyFont="1" applyBorder="1" applyAlignment="1">
      <alignment horizontal="center" vertical="center" wrapText="1"/>
    </xf>
    <xf numFmtId="3" fontId="41" fillId="0" borderId="0" xfId="0" applyNumberFormat="1" applyFont="1" applyAlignment="1">
      <alignment vertical="center"/>
    </xf>
    <xf numFmtId="0" fontId="52" fillId="0" borderId="0" xfId="0" applyFont="1" applyAlignment="1">
      <alignment vertical="center"/>
    </xf>
    <xf numFmtId="0" fontId="36" fillId="0" borderId="1" xfId="0" quotePrefix="1" applyFont="1" applyBorder="1" applyAlignment="1">
      <alignment horizontal="center" vertical="center" wrapText="1"/>
    </xf>
    <xf numFmtId="3" fontId="52" fillId="0" borderId="0" xfId="0" applyNumberFormat="1" applyFont="1" applyAlignment="1">
      <alignment vertical="center"/>
    </xf>
    <xf numFmtId="0" fontId="36" fillId="0" borderId="8" xfId="0" applyFont="1" applyBorder="1" applyAlignment="1">
      <alignment horizontal="center" vertical="center" wrapText="1"/>
    </xf>
    <xf numFmtId="0" fontId="36" fillId="0" borderId="8" xfId="0" applyFont="1" applyBorder="1" applyAlignment="1">
      <alignment vertical="center" wrapText="1"/>
    </xf>
    <xf numFmtId="3" fontId="36" fillId="0" borderId="8" xfId="0" applyNumberFormat="1" applyFont="1" applyBorder="1" applyAlignment="1">
      <alignment vertical="center" wrapText="1"/>
    </xf>
    <xf numFmtId="165" fontId="36" fillId="0" borderId="8" xfId="1" applyNumberFormat="1" applyFont="1" applyFill="1" applyBorder="1" applyAlignment="1">
      <alignment vertical="center" wrapText="1"/>
    </xf>
    <xf numFmtId="3" fontId="36" fillId="0" borderId="9" xfId="0" applyNumberFormat="1" applyFont="1" applyBorder="1" applyAlignment="1">
      <alignment vertical="center" wrapText="1"/>
    </xf>
    <xf numFmtId="165" fontId="36" fillId="0" borderId="9" xfId="1" applyNumberFormat="1" applyFont="1" applyFill="1" applyBorder="1" applyAlignment="1">
      <alignment vertical="center" wrapText="1"/>
    </xf>
    <xf numFmtId="3" fontId="42" fillId="0" borderId="9" xfId="0" applyNumberFormat="1" applyFont="1" applyBorder="1" applyAlignment="1">
      <alignment vertical="center" wrapText="1"/>
    </xf>
    <xf numFmtId="165" fontId="42" fillId="0" borderId="9" xfId="1" applyNumberFormat="1" applyFont="1" applyFill="1" applyBorder="1" applyAlignment="1">
      <alignment vertical="center" wrapText="1"/>
    </xf>
    <xf numFmtId="166" fontId="42" fillId="0" borderId="9" xfId="1" applyNumberFormat="1" applyFont="1" applyFill="1" applyBorder="1" applyAlignment="1">
      <alignment vertical="center" wrapText="1"/>
    </xf>
    <xf numFmtId="0" fontId="53" fillId="0" borderId="0" xfId="0" applyFont="1" applyAlignment="1">
      <alignment vertical="center"/>
    </xf>
    <xf numFmtId="0" fontId="10" fillId="0" borderId="0" xfId="0" applyFont="1" applyAlignment="1">
      <alignment vertical="center" wrapText="1"/>
    </xf>
    <xf numFmtId="3" fontId="36" fillId="0" borderId="10" xfId="0" applyNumberFormat="1" applyFont="1" applyBorder="1" applyAlignment="1">
      <alignment vertical="center" wrapText="1"/>
    </xf>
    <xf numFmtId="165" fontId="36" fillId="0" borderId="10" xfId="1" applyNumberFormat="1" applyFont="1" applyFill="1" applyBorder="1" applyAlignment="1">
      <alignment vertical="center" wrapText="1"/>
    </xf>
    <xf numFmtId="0" fontId="41" fillId="0" borderId="0" xfId="0" applyFont="1" applyAlignment="1">
      <alignment horizontal="center" vertical="center"/>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165" fontId="13" fillId="0" borderId="8" xfId="1" applyNumberFormat="1" applyFont="1" applyFill="1" applyBorder="1" applyAlignment="1">
      <alignment horizontal="center" vertical="center" wrapText="1"/>
    </xf>
    <xf numFmtId="165" fontId="13" fillId="0" borderId="10" xfId="1" applyNumberFormat="1" applyFont="1" applyFill="1" applyBorder="1" applyAlignment="1">
      <alignment horizontal="center" vertical="center" wrapText="1"/>
    </xf>
    <xf numFmtId="166" fontId="55" fillId="0" borderId="0" xfId="0" applyNumberFormat="1" applyFont="1" applyAlignment="1">
      <alignment horizontal="center" vertical="center" wrapText="1"/>
    </xf>
    <xf numFmtId="171" fontId="13" fillId="0" borderId="0" xfId="0" applyNumberFormat="1" applyFont="1"/>
    <xf numFmtId="166" fontId="33" fillId="0" borderId="0" xfId="0" applyNumberFormat="1" applyFont="1"/>
    <xf numFmtId="166" fontId="56" fillId="0" borderId="0" xfId="0" applyNumberFormat="1" applyFont="1"/>
    <xf numFmtId="166" fontId="26" fillId="0" borderId="0" xfId="0" applyNumberFormat="1" applyFont="1"/>
    <xf numFmtId="0" fontId="13" fillId="0" borderId="0" xfId="0" applyFont="1" applyAlignment="1">
      <alignment vertical="center" wrapText="1"/>
    </xf>
    <xf numFmtId="3" fontId="15" fillId="2" borderId="9" xfId="4" applyNumberFormat="1" applyFont="1" applyFill="1" applyBorder="1" applyAlignment="1">
      <alignment vertical="center" wrapText="1"/>
    </xf>
    <xf numFmtId="0" fontId="15" fillId="2" borderId="9" xfId="4" applyFont="1" applyFill="1" applyBorder="1" applyAlignment="1">
      <alignment vertical="center" wrapText="1"/>
    </xf>
    <xf numFmtId="166" fontId="58" fillId="2" borderId="9" xfId="1" applyNumberFormat="1" applyFont="1" applyFill="1" applyBorder="1" applyAlignment="1">
      <alignment horizontal="center" vertical="center" wrapText="1"/>
    </xf>
    <xf numFmtId="0" fontId="15" fillId="2" borderId="9" xfId="0" applyFont="1" applyFill="1" applyBorder="1" applyAlignment="1" applyProtection="1">
      <alignment horizontal="left" vertical="center" wrapText="1"/>
      <protection locked="0"/>
    </xf>
    <xf numFmtId="0" fontId="60" fillId="0" borderId="0" xfId="0" applyFont="1"/>
    <xf numFmtId="166" fontId="12" fillId="0" borderId="0" xfId="1" applyNumberFormat="1" applyFont="1" applyAlignment="1"/>
    <xf numFmtId="0" fontId="7" fillId="2" borderId="9" xfId="0" applyFont="1" applyFill="1" applyBorder="1" applyAlignment="1">
      <alignment vertical="center" wrapText="1"/>
    </xf>
    <xf numFmtId="3" fontId="13" fillId="0" borderId="9" xfId="0" applyNumberFormat="1" applyFont="1" applyBorder="1" applyAlignment="1">
      <alignment vertical="center" wrapText="1"/>
    </xf>
    <xf numFmtId="166" fontId="15" fillId="3" borderId="9" xfId="6" quotePrefix="1" applyNumberFormat="1" applyFont="1" applyFill="1" applyBorder="1" applyAlignment="1">
      <alignment horizontal="center" vertical="center"/>
    </xf>
    <xf numFmtId="166" fontId="15" fillId="3" borderId="9" xfId="6" applyNumberFormat="1" applyFont="1" applyFill="1" applyBorder="1" applyAlignment="1">
      <alignment vertical="center" wrapText="1"/>
    </xf>
    <xf numFmtId="166" fontId="15" fillId="3" borderId="9" xfId="1" applyNumberFormat="1" applyFont="1" applyFill="1" applyBorder="1" applyAlignment="1">
      <alignment horizontal="center" vertical="center" wrapText="1"/>
    </xf>
    <xf numFmtId="165" fontId="15" fillId="3" borderId="9" xfId="1" applyNumberFormat="1" applyFont="1" applyFill="1" applyBorder="1" applyAlignment="1">
      <alignment horizontal="center" vertical="center" wrapText="1"/>
    </xf>
    <xf numFmtId="0" fontId="15" fillId="3" borderId="0" xfId="0" applyFont="1" applyFill="1" applyAlignment="1">
      <alignment vertical="center"/>
    </xf>
    <xf numFmtId="166" fontId="15" fillId="3" borderId="9" xfId="1" applyNumberFormat="1" applyFont="1" applyFill="1" applyBorder="1" applyAlignment="1">
      <alignment vertical="center"/>
    </xf>
    <xf numFmtId="0" fontId="37"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vertical="center" wrapText="1"/>
    </xf>
    <xf numFmtId="3" fontId="6" fillId="2" borderId="9" xfId="0" applyNumberFormat="1" applyFont="1" applyFill="1" applyBorder="1" applyAlignment="1">
      <alignment horizontal="right" vertical="center" wrapText="1"/>
    </xf>
    <xf numFmtId="168" fontId="6" fillId="2" borderId="9" xfId="13"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vertical="center" wrapText="1"/>
    </xf>
    <xf numFmtId="3" fontId="8" fillId="2" borderId="9" xfId="0" applyNumberFormat="1" applyFont="1" applyFill="1" applyBorder="1" applyAlignment="1">
      <alignment horizontal="right" vertical="center" wrapText="1"/>
    </xf>
    <xf numFmtId="168" fontId="8" fillId="2" borderId="9" xfId="13" applyNumberFormat="1" applyFont="1" applyFill="1" applyBorder="1" applyAlignment="1">
      <alignment horizontal="center" vertical="center" wrapText="1"/>
    </xf>
    <xf numFmtId="0" fontId="8" fillId="2" borderId="9" xfId="0" quotePrefix="1" applyFont="1" applyFill="1" applyBorder="1" applyAlignment="1">
      <alignment horizontal="center" vertical="center" wrapText="1"/>
    </xf>
    <xf numFmtId="0" fontId="7" fillId="2" borderId="9" xfId="0" applyFont="1" applyFill="1" applyBorder="1" applyAlignment="1">
      <alignment horizontal="center" vertical="center" wrapText="1"/>
    </xf>
    <xf numFmtId="3" fontId="7" fillId="2" borderId="9" xfId="0" applyNumberFormat="1" applyFont="1" applyFill="1" applyBorder="1" applyAlignment="1">
      <alignment horizontal="right" vertical="center" wrapText="1"/>
    </xf>
    <xf numFmtId="168" fontId="7" fillId="2" borderId="9" xfId="13" applyNumberFormat="1" applyFont="1" applyFill="1" applyBorder="1" applyAlignment="1">
      <alignment horizontal="center" vertical="center" wrapText="1"/>
    </xf>
    <xf numFmtId="3" fontId="6" fillId="2" borderId="9" xfId="0" applyNumberFormat="1" applyFont="1" applyFill="1" applyBorder="1" applyAlignment="1">
      <alignment vertical="center" wrapText="1"/>
    </xf>
    <xf numFmtId="0" fontId="7" fillId="2" borderId="9" xfId="0" quotePrefix="1" applyFont="1" applyFill="1" applyBorder="1" applyAlignment="1">
      <alignment horizontal="center" vertical="center" wrapText="1"/>
    </xf>
    <xf numFmtId="0" fontId="6" fillId="2" borderId="9" xfId="0" quotePrefix="1"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9" xfId="0" applyFont="1" applyFill="1" applyBorder="1" applyAlignment="1">
      <alignment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vertical="center" wrapText="1"/>
    </xf>
    <xf numFmtId="3" fontId="6" fillId="2" borderId="10" xfId="0" applyNumberFormat="1" applyFont="1" applyFill="1" applyBorder="1" applyAlignment="1">
      <alignment horizontal="right" vertical="center" wrapText="1"/>
    </xf>
    <xf numFmtId="168" fontId="6" fillId="2" borderId="10" xfId="13" applyNumberFormat="1" applyFont="1" applyFill="1" applyBorder="1" applyAlignment="1">
      <alignment horizontal="center" vertical="center" wrapText="1"/>
    </xf>
    <xf numFmtId="3" fontId="13" fillId="0" borderId="8" xfId="0" applyNumberFormat="1" applyFont="1" applyBorder="1" applyAlignment="1">
      <alignment horizontal="right" vertical="center" wrapText="1"/>
    </xf>
    <xf numFmtId="3" fontId="13" fillId="0" borderId="9" xfId="0" applyNumberFormat="1" applyFont="1" applyBorder="1" applyAlignment="1">
      <alignment horizontal="right" vertical="center" wrapText="1"/>
    </xf>
    <xf numFmtId="3" fontId="13" fillId="0" borderId="9" xfId="1" applyNumberFormat="1" applyFont="1" applyFill="1" applyBorder="1" applyAlignment="1">
      <alignment vertical="center" wrapText="1"/>
    </xf>
    <xf numFmtId="3" fontId="15" fillId="0" borderId="9" xfId="0" applyNumberFormat="1" applyFont="1" applyBorder="1" applyAlignment="1">
      <alignment horizontal="right" vertical="center" wrapText="1"/>
    </xf>
    <xf numFmtId="3" fontId="15" fillId="0" borderId="9" xfId="0" applyNumberFormat="1" applyFont="1" applyBorder="1" applyAlignment="1">
      <alignment vertical="center" wrapText="1"/>
    </xf>
    <xf numFmtId="166" fontId="15" fillId="0" borderId="9"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0" borderId="9" xfId="0" applyFont="1" applyBorder="1" applyAlignment="1">
      <alignment vertical="center" wrapText="1"/>
    </xf>
    <xf numFmtId="3" fontId="18" fillId="0" borderId="9" xfId="0" applyNumberFormat="1" applyFont="1" applyBorder="1" applyAlignment="1">
      <alignment horizontal="right" vertical="center" wrapText="1"/>
    </xf>
    <xf numFmtId="3" fontId="18" fillId="0" borderId="9" xfId="0" applyNumberFormat="1" applyFont="1" applyBorder="1" applyAlignment="1">
      <alignment vertical="center" wrapText="1"/>
    </xf>
    <xf numFmtId="3" fontId="18" fillId="0" borderId="9" xfId="1" applyNumberFormat="1" applyFont="1" applyFill="1" applyBorder="1" applyAlignment="1">
      <alignment horizontal="right" vertical="center" wrapText="1"/>
    </xf>
    <xf numFmtId="165" fontId="18" fillId="0" borderId="9" xfId="1" applyNumberFormat="1" applyFont="1" applyFill="1" applyBorder="1" applyAlignment="1">
      <alignment horizontal="center" vertical="center" wrapText="1"/>
    </xf>
    <xf numFmtId="166" fontId="18" fillId="0" borderId="9" xfId="0" applyNumberFormat="1" applyFont="1" applyBorder="1" applyAlignment="1">
      <alignment horizontal="center" vertical="center" wrapText="1"/>
    </xf>
    <xf numFmtId="166" fontId="13" fillId="0" borderId="9" xfId="0" applyNumberFormat="1" applyFont="1" applyBorder="1" applyAlignment="1">
      <alignment horizontal="center" vertical="center" wrapText="1"/>
    </xf>
    <xf numFmtId="3" fontId="13" fillId="0" borderId="9" xfId="1" applyNumberFormat="1" applyFont="1" applyFill="1" applyBorder="1" applyAlignment="1">
      <alignment horizontal="right" vertical="center" wrapText="1"/>
    </xf>
    <xf numFmtId="0" fontId="15" fillId="0" borderId="9" xfId="8" applyFont="1" applyBorder="1" applyAlignment="1">
      <alignment vertical="center" wrapText="1"/>
    </xf>
    <xf numFmtId="3" fontId="15" fillId="0" borderId="9" xfId="5" applyNumberFormat="1" applyFont="1" applyBorder="1" applyAlignment="1">
      <alignment vertical="center" wrapText="1"/>
    </xf>
    <xf numFmtId="3" fontId="13" fillId="0" borderId="10" xfId="0" applyNumberFormat="1" applyFont="1" applyBorder="1" applyAlignment="1">
      <alignment horizontal="right" vertical="center" wrapText="1"/>
    </xf>
    <xf numFmtId="0" fontId="13" fillId="0" borderId="9" xfId="0" applyFont="1" applyBorder="1" applyAlignment="1">
      <alignment vertical="center"/>
    </xf>
    <xf numFmtId="3" fontId="15" fillId="0" borderId="0" xfId="0" applyNumberFormat="1" applyFont="1" applyAlignment="1">
      <alignment vertical="center"/>
    </xf>
    <xf numFmtId="0" fontId="11" fillId="0" borderId="3" xfId="0" applyFont="1" applyBorder="1" applyAlignment="1">
      <alignment horizontal="center" vertical="center" wrapText="1"/>
    </xf>
    <xf numFmtId="0" fontId="12" fillId="0" borderId="8" xfId="0" applyFont="1" applyBorder="1" applyAlignment="1">
      <alignment vertical="center" wrapText="1"/>
    </xf>
    <xf numFmtId="166" fontId="15" fillId="0" borderId="9" xfId="18" applyNumberFormat="1" applyFont="1" applyFill="1" applyBorder="1" applyAlignment="1">
      <alignment vertical="center" wrapText="1"/>
    </xf>
    <xf numFmtId="0" fontId="20" fillId="0" borderId="12" xfId="0" applyFont="1" applyBorder="1" applyAlignment="1">
      <alignment horizontal="center" vertical="center" wrapText="1"/>
    </xf>
    <xf numFmtId="0" fontId="48" fillId="0" borderId="1" xfId="0" applyFont="1" applyBorder="1" applyAlignment="1">
      <alignment horizontal="center" vertical="center" wrapText="1"/>
    </xf>
    <xf numFmtId="0" fontId="16" fillId="0" borderId="0" xfId="0" applyFont="1"/>
    <xf numFmtId="0" fontId="26" fillId="0" borderId="8" xfId="0" applyFont="1" applyBorder="1" applyAlignment="1">
      <alignment horizontal="center" vertical="center" wrapText="1"/>
    </xf>
    <xf numFmtId="172" fontId="62" fillId="0" borderId="8" xfId="0" applyNumberFormat="1" applyFont="1" applyBorder="1" applyAlignment="1">
      <alignment horizontal="center" vertical="center" wrapText="1"/>
    </xf>
    <xf numFmtId="173" fontId="26" fillId="0" borderId="8" xfId="0" applyNumberFormat="1" applyFont="1" applyBorder="1" applyAlignment="1">
      <alignment horizontal="center" vertical="center" wrapText="1"/>
    </xf>
    <xf numFmtId="172" fontId="62" fillId="0" borderId="8" xfId="1" applyNumberFormat="1" applyFont="1" applyFill="1" applyBorder="1" applyAlignment="1">
      <alignment horizontal="center" vertical="center" wrapText="1"/>
    </xf>
    <xf numFmtId="174" fontId="62" fillId="0" borderId="8" xfId="0" applyNumberFormat="1" applyFont="1" applyBorder="1" applyAlignment="1">
      <alignment horizontal="center" vertical="center" wrapText="1"/>
    </xf>
    <xf numFmtId="9" fontId="29" fillId="0" borderId="8" xfId="19" applyFont="1" applyFill="1" applyBorder="1" applyAlignment="1">
      <alignment horizontal="right" vertical="center" wrapText="1"/>
    </xf>
    <xf numFmtId="9" fontId="29" fillId="0" borderId="9" xfId="19" applyFont="1" applyFill="1" applyBorder="1" applyAlignment="1">
      <alignment horizontal="right" vertical="center" wrapText="1"/>
    </xf>
    <xf numFmtId="9" fontId="10" fillId="0" borderId="9" xfId="19" applyFont="1" applyFill="1" applyBorder="1" applyAlignment="1">
      <alignment horizontal="right" vertical="center" wrapText="1"/>
    </xf>
    <xf numFmtId="9" fontId="10" fillId="0" borderId="10" xfId="19" applyFont="1" applyFill="1" applyBorder="1" applyAlignment="1">
      <alignment horizontal="right" vertical="center" wrapText="1"/>
    </xf>
    <xf numFmtId="9" fontId="10" fillId="0" borderId="15" xfId="19" applyFont="1" applyFill="1" applyBorder="1" applyAlignment="1">
      <alignment horizontal="right" vertical="center" wrapText="1"/>
    </xf>
    <xf numFmtId="166" fontId="13" fillId="0" borderId="8" xfId="1" applyNumberFormat="1" applyFont="1" applyBorder="1" applyAlignment="1">
      <alignment horizontal="right" vertical="center" wrapText="1"/>
    </xf>
    <xf numFmtId="166" fontId="15" fillId="0" borderId="9" xfId="1" applyNumberFormat="1" applyFont="1" applyBorder="1" applyAlignment="1">
      <alignment horizontal="right" vertical="center" wrapText="1"/>
    </xf>
    <xf numFmtId="166" fontId="15" fillId="2" borderId="9" xfId="1" applyNumberFormat="1" applyFont="1" applyFill="1" applyBorder="1" applyAlignment="1">
      <alignment horizontal="right" vertical="center" wrapText="1"/>
    </xf>
    <xf numFmtId="166" fontId="13" fillId="0" borderId="9" xfId="1" applyNumberFormat="1" applyFont="1" applyBorder="1" applyAlignment="1">
      <alignment horizontal="right" vertical="center" wrapText="1"/>
    </xf>
    <xf numFmtId="166" fontId="13" fillId="2" borderId="9" xfId="1" applyNumberFormat="1" applyFont="1" applyFill="1" applyBorder="1" applyAlignment="1">
      <alignment horizontal="right" vertical="center" wrapText="1"/>
    </xf>
    <xf numFmtId="166" fontId="13" fillId="0" borderId="9" xfId="1" applyNumberFormat="1" applyFont="1" applyFill="1" applyBorder="1" applyAlignment="1">
      <alignment horizontal="right" vertical="center" wrapText="1"/>
    </xf>
    <xf numFmtId="166" fontId="13" fillId="0" borderId="10" xfId="1" applyNumberFormat="1" applyFont="1" applyFill="1" applyBorder="1" applyAlignment="1">
      <alignment horizontal="right" vertical="center" wrapText="1"/>
    </xf>
    <xf numFmtId="165" fontId="13" fillId="0" borderId="8" xfId="1" applyNumberFormat="1" applyFont="1" applyBorder="1" applyAlignment="1">
      <alignment horizontal="right" vertical="center" wrapText="1"/>
    </xf>
    <xf numFmtId="165" fontId="15" fillId="0" borderId="9" xfId="1" applyNumberFormat="1" applyFont="1" applyBorder="1" applyAlignment="1">
      <alignment horizontal="right" vertical="center" wrapText="1"/>
    </xf>
    <xf numFmtId="165" fontId="13" fillId="0" borderId="9" xfId="1" applyNumberFormat="1" applyFont="1" applyBorder="1" applyAlignment="1">
      <alignment horizontal="right" vertical="center" wrapText="1"/>
    </xf>
    <xf numFmtId="165" fontId="13" fillId="0" borderId="10" xfId="1" applyNumberFormat="1" applyFont="1" applyBorder="1" applyAlignment="1">
      <alignment horizontal="right" vertical="center" wrapText="1"/>
    </xf>
    <xf numFmtId="3" fontId="12" fillId="0" borderId="8" xfId="0" applyNumberFormat="1" applyFont="1" applyBorder="1" applyAlignment="1">
      <alignment horizontal="right" vertical="center" wrapText="1"/>
    </xf>
    <xf numFmtId="165" fontId="12" fillId="0" borderId="8" xfId="1" applyNumberFormat="1" applyFont="1" applyFill="1" applyBorder="1" applyAlignment="1">
      <alignment horizontal="right" vertical="center" wrapText="1"/>
    </xf>
    <xf numFmtId="3" fontId="12" fillId="0" borderId="9" xfId="0" applyNumberFormat="1" applyFont="1" applyBorder="1" applyAlignment="1">
      <alignment horizontal="right" vertical="center" wrapText="1"/>
    </xf>
    <xf numFmtId="165" fontId="12" fillId="0" borderId="9" xfId="1" applyNumberFormat="1" applyFont="1" applyFill="1" applyBorder="1" applyAlignment="1">
      <alignment horizontal="right" vertical="center" wrapText="1"/>
    </xf>
    <xf numFmtId="165" fontId="12" fillId="2" borderId="9" xfId="1" applyNumberFormat="1" applyFont="1" applyFill="1" applyBorder="1" applyAlignment="1">
      <alignment horizontal="right" vertical="center" wrapText="1"/>
    </xf>
    <xf numFmtId="165" fontId="11" fillId="2" borderId="9" xfId="1" applyNumberFormat="1" applyFont="1" applyFill="1" applyBorder="1" applyAlignment="1">
      <alignment horizontal="right" vertical="center" wrapText="1"/>
    </xf>
    <xf numFmtId="3" fontId="11" fillId="0" borderId="9" xfId="0" applyNumberFormat="1" applyFont="1" applyBorder="1" applyAlignment="1">
      <alignment horizontal="right" vertical="center" wrapText="1"/>
    </xf>
    <xf numFmtId="166" fontId="11" fillId="0" borderId="9" xfId="1" applyNumberFormat="1" applyFont="1" applyFill="1" applyBorder="1" applyAlignment="1">
      <alignment horizontal="right" vertical="center" wrapText="1"/>
    </xf>
    <xf numFmtId="165" fontId="11" fillId="0" borderId="9" xfId="1" applyNumberFormat="1" applyFont="1" applyFill="1" applyBorder="1" applyAlignment="1">
      <alignment horizontal="right" vertical="center" wrapText="1"/>
    </xf>
    <xf numFmtId="3" fontId="12" fillId="0" borderId="10" xfId="0" applyNumberFormat="1" applyFont="1" applyBorder="1" applyAlignment="1">
      <alignment horizontal="right"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6" fillId="2" borderId="1" xfId="0" applyFont="1" applyFill="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center" vertical="center"/>
    </xf>
    <xf numFmtId="0" fontId="14" fillId="0" borderId="7" xfId="0" applyFont="1" applyBorder="1" applyAlignment="1">
      <alignment horizontal="right"/>
    </xf>
    <xf numFmtId="0" fontId="12" fillId="0" borderId="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13" xfId="0" applyFont="1" applyBorder="1" applyAlignment="1">
      <alignment horizontal="center" vertical="center" wrapText="1"/>
    </xf>
    <xf numFmtId="0" fontId="12" fillId="0" borderId="0" xfId="0" applyFont="1" applyAlignment="1">
      <alignment horizontal="center"/>
    </xf>
    <xf numFmtId="0" fontId="35" fillId="0" borderId="0" xfId="0" applyFont="1" applyAlignment="1">
      <alignment horizontal="center" vertical="center" wrapText="1"/>
    </xf>
    <xf numFmtId="0" fontId="37" fillId="0" borderId="7" xfId="0" applyFont="1" applyBorder="1" applyAlignment="1">
      <alignment horizontal="right"/>
    </xf>
    <xf numFmtId="0" fontId="18" fillId="0" borderId="7" xfId="0" applyFont="1" applyBorder="1" applyAlignment="1">
      <alignment horizontal="right" vertical="center"/>
    </xf>
    <xf numFmtId="0" fontId="13" fillId="0" borderId="2" xfId="0" applyFont="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left" vertical="center" wrapText="1"/>
    </xf>
    <xf numFmtId="0" fontId="20" fillId="0" borderId="0" xfId="0" applyFont="1" applyAlignment="1">
      <alignment horizontal="center" vertical="center" wrapText="1"/>
    </xf>
    <xf numFmtId="0" fontId="30" fillId="0" borderId="0" xfId="0" applyFont="1" applyAlignment="1">
      <alignment horizontal="center" vertical="center"/>
    </xf>
    <xf numFmtId="0" fontId="31" fillId="0" borderId="1"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48" fillId="0" borderId="0" xfId="0" applyFont="1" applyAlignment="1">
      <alignment horizontal="left" vertical="center" wrapText="1"/>
    </xf>
    <xf numFmtId="0" fontId="37" fillId="0" borderId="0" xfId="0" applyFont="1" applyAlignment="1">
      <alignment horizontal="center" vertical="center"/>
    </xf>
    <xf numFmtId="0" fontId="46" fillId="0" borderId="7" xfId="0" applyFont="1" applyBorder="1" applyAlignment="1">
      <alignment horizontal="right"/>
    </xf>
    <xf numFmtId="0" fontId="54" fillId="0" borderId="0" xfId="0" applyFont="1" applyAlignment="1">
      <alignment vertical="center" wrapText="1"/>
    </xf>
    <xf numFmtId="0" fontId="43" fillId="0" borderId="0" xfId="0" applyFont="1" applyAlignment="1">
      <alignment vertical="center" wrapText="1"/>
    </xf>
    <xf numFmtId="0" fontId="36" fillId="0" borderId="0" xfId="0" applyFont="1" applyAlignment="1">
      <alignment horizontal="center" vertical="center" wrapText="1"/>
    </xf>
    <xf numFmtId="0" fontId="51" fillId="0" borderId="7" xfId="0" applyFont="1" applyBorder="1" applyAlignment="1">
      <alignment vertical="center"/>
    </xf>
    <xf numFmtId="0" fontId="36" fillId="0" borderId="1" xfId="0" applyFont="1" applyBorder="1" applyAlignment="1">
      <alignment horizontal="center" vertical="center" wrapText="1"/>
    </xf>
    <xf numFmtId="0" fontId="37" fillId="0" borderId="0" xfId="0" applyFont="1" applyAlignment="1">
      <alignment horizontal="left"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0" xfId="0" applyFont="1" applyAlignment="1">
      <alignment horizontal="left"/>
    </xf>
    <xf numFmtId="0" fontId="57" fillId="0" borderId="7" xfId="0" applyFont="1" applyBorder="1" applyAlignment="1">
      <alignment horizontal="right"/>
    </xf>
    <xf numFmtId="0" fontId="12" fillId="0" borderId="12"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27" fillId="0" borderId="1" xfId="0" applyFont="1" applyBorder="1" applyAlignment="1">
      <alignment horizontal="center" vertical="center" wrapText="1"/>
    </xf>
  </cellXfs>
  <cellStyles count="20">
    <cellStyle name="AutoFormat-Optionen" xfId="3" xr:uid="{00000000-0005-0000-0000-000000000000}"/>
    <cellStyle name="AutoFormat-Optionen 2 2" xfId="7" xr:uid="{00000000-0005-0000-0000-000001000000}"/>
    <cellStyle name="AutoFormat-Optionen 4" xfId="4" xr:uid="{00000000-0005-0000-0000-000002000000}"/>
    <cellStyle name="Comma" xfId="1" builtinId="3"/>
    <cellStyle name="Comma 10 2" xfId="11" xr:uid="{00000000-0005-0000-0000-000004000000}"/>
    <cellStyle name="Comma 10 3" xfId="6" xr:uid="{00000000-0005-0000-0000-000005000000}"/>
    <cellStyle name="Comma 10 3 2" xfId="18" xr:uid="{D8A17EA8-035E-40A3-BB9B-B0FC92123B5B}"/>
    <cellStyle name="Comma 14" xfId="9" xr:uid="{00000000-0005-0000-0000-000006000000}"/>
    <cellStyle name="Comma 2" xfId="15" xr:uid="{00000000-0005-0000-0000-000007000000}"/>
    <cellStyle name="Comma 2 2 2" xfId="2" xr:uid="{00000000-0005-0000-0000-000008000000}"/>
    <cellStyle name="Comma 23 2" xfId="10" xr:uid="{00000000-0005-0000-0000-000009000000}"/>
    <cellStyle name="Comma 3" xfId="16" xr:uid="{00000000-0005-0000-0000-00000A000000}"/>
    <cellStyle name="Normal" xfId="0" builtinId="0"/>
    <cellStyle name="Normal 2 2" xfId="12" xr:uid="{00000000-0005-0000-0000-00000C000000}"/>
    <cellStyle name="Normal 3 4" xfId="5" xr:uid="{00000000-0005-0000-0000-00000D000000}"/>
    <cellStyle name="Normal 6 6" xfId="8" xr:uid="{00000000-0005-0000-0000-00000E000000}"/>
    <cellStyle name="Percent" xfId="13" builtinId="5"/>
    <cellStyle name="Percent 9 3" xfId="14" xr:uid="{00000000-0005-0000-0000-000010000000}"/>
    <cellStyle name="Percent 9 3 2" xfId="17" xr:uid="{00000000-0005-0000-0000-000011000000}"/>
    <cellStyle name="Percent 9 3 2 2 2" xfId="19" xr:uid="{9C8FAEB0-A89C-4B59-A96E-D41DA4E13C4E}"/>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chtlong/AppData/Local/Temp/VNPT%20Plugin/Nghi%20quyet%2083_Bieu%20kem%20th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u nội địa"/>
      <sheetName val="Tong hop phan cong"/>
      <sheetName val="Bieu 48"/>
      <sheetName val="Bieu 50_"/>
      <sheetName val="Bieu 51_"/>
      <sheetName val="bieu 52_"/>
      <sheetName val="bieu 53_"/>
      <sheetName val="Bieu 54_"/>
      <sheetName val="Bieu 54"/>
      <sheetName val="Bieu 58"/>
      <sheetName val="Bieu 59"/>
      <sheetName val="Bieu 61_Hien"/>
      <sheetName val="Bieu 61"/>
      <sheetName val="Biêu 63"/>
      <sheetName val="Biêu 64"/>
    </sheetNames>
    <sheetDataSet>
      <sheetData sheetId="0" refreshError="1"/>
      <sheetData sheetId="1" refreshError="1"/>
      <sheetData sheetId="2" refreshError="1"/>
      <sheetData sheetId="3" refreshError="1"/>
      <sheetData sheetId="4">
        <row r="24">
          <cell r="D24">
            <v>9500.851999999999</v>
          </cell>
        </row>
        <row r="27">
          <cell r="D27">
            <v>51310</v>
          </cell>
        </row>
      </sheetData>
      <sheetData sheetId="5">
        <row r="9">
          <cell r="D9">
            <v>2007071</v>
          </cell>
        </row>
      </sheetData>
      <sheetData sheetId="6">
        <row r="25">
          <cell r="G25">
            <v>9500.851999999999</v>
          </cell>
        </row>
        <row r="26">
          <cell r="G26">
            <v>1000</v>
          </cell>
        </row>
        <row r="106">
          <cell r="G106">
            <v>1326874.6171550001</v>
          </cell>
        </row>
        <row r="107">
          <cell r="G107">
            <v>331567.81606899999</v>
          </cell>
        </row>
      </sheetData>
      <sheetData sheetId="7">
        <row r="116">
          <cell r="T116">
            <v>533490.10800000001</v>
          </cell>
        </row>
      </sheetData>
      <sheetData sheetId="8" refreshError="1"/>
      <sheetData sheetId="9" refreshError="1"/>
      <sheetData sheetId="10">
        <row r="10">
          <cell r="K10">
            <v>2540560.6151000001</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zoomScale="90" zoomScaleNormal="90" workbookViewId="0">
      <pane xSplit="2" ySplit="7" topLeftCell="C8" activePane="bottomRight" state="frozen"/>
      <selection pane="topRight" activeCell="C1" sqref="C1"/>
      <selection pane="bottomLeft" activeCell="A8" sqref="A8"/>
      <selection pane="bottomRight" activeCell="H7" sqref="H7"/>
    </sheetView>
  </sheetViews>
  <sheetFormatPr defaultColWidth="9.140625" defaultRowHeight="15.75" outlineLevelRow="1" x14ac:dyDescent="0.25"/>
  <cols>
    <col min="1" max="1" width="6.42578125" style="9" customWidth="1"/>
    <col min="2" max="2" width="52.85546875" style="9" customWidth="1"/>
    <col min="3" max="3" width="13" style="9" customWidth="1"/>
    <col min="4" max="4" width="13.42578125" style="9" customWidth="1"/>
    <col min="5" max="5" width="9.140625" style="9" customWidth="1"/>
    <col min="6" max="6" width="9.140625" style="9"/>
    <col min="7" max="7" width="15.140625" style="9" customWidth="1"/>
    <col min="8" max="8" width="15.42578125" style="9" customWidth="1"/>
    <col min="9" max="16384" width="9.140625" style="9"/>
  </cols>
  <sheetData>
    <row r="1" spans="1:11" x14ac:dyDescent="0.25">
      <c r="A1" s="15"/>
      <c r="D1" s="15" t="s">
        <v>0</v>
      </c>
    </row>
    <row r="2" spans="1:11" x14ac:dyDescent="0.25">
      <c r="A2" s="1"/>
      <c r="B2" s="23"/>
    </row>
    <row r="3" spans="1:11" ht="24" customHeight="1" x14ac:dyDescent="0.25">
      <c r="A3" s="328" t="s">
        <v>550</v>
      </c>
      <c r="B3" s="328"/>
      <c r="C3" s="328"/>
      <c r="D3" s="328"/>
      <c r="E3" s="328"/>
    </row>
    <row r="4" spans="1:11" ht="20.25" customHeight="1" x14ac:dyDescent="0.25">
      <c r="A4" s="329" t="s">
        <v>720</v>
      </c>
      <c r="B4" s="329"/>
      <c r="C4" s="329"/>
      <c r="D4" s="329"/>
      <c r="E4" s="329"/>
    </row>
    <row r="5" spans="1:11" x14ac:dyDescent="0.25">
      <c r="B5" s="2"/>
      <c r="C5" s="6"/>
      <c r="D5" s="11" t="s">
        <v>1</v>
      </c>
    </row>
    <row r="6" spans="1:11" ht="50.25" customHeight="1" x14ac:dyDescent="0.25">
      <c r="A6" s="32" t="s">
        <v>2</v>
      </c>
      <c r="B6" s="32" t="s">
        <v>3</v>
      </c>
      <c r="C6" s="32" t="s">
        <v>4</v>
      </c>
      <c r="D6" s="32" t="s">
        <v>5</v>
      </c>
      <c r="E6" s="32" t="s">
        <v>6</v>
      </c>
      <c r="F6" s="57"/>
      <c r="G6" s="6"/>
    </row>
    <row r="7" spans="1:11" x14ac:dyDescent="0.25">
      <c r="A7" s="44" t="s">
        <v>7</v>
      </c>
      <c r="B7" s="44" t="s">
        <v>8</v>
      </c>
      <c r="C7" s="44">
        <v>1</v>
      </c>
      <c r="D7" s="44">
        <v>2</v>
      </c>
      <c r="E7" s="44" t="s">
        <v>9</v>
      </c>
    </row>
    <row r="8" spans="1:11" s="28" customFormat="1" ht="21.6" customHeight="1" x14ac:dyDescent="0.25">
      <c r="A8" s="223" t="s">
        <v>7</v>
      </c>
      <c r="B8" s="224" t="s">
        <v>10</v>
      </c>
      <c r="C8" s="307">
        <f t="shared" ref="C8" si="0">C9+C12+C15+C16+C17+C18+C19+C20</f>
        <v>8548648</v>
      </c>
      <c r="D8" s="307">
        <f>D9+D12+D15+D16+D17+D18+D19+D20+0.3</f>
        <v>12125332.878783999</v>
      </c>
      <c r="E8" s="314">
        <f t="shared" ref="E8:E17" si="1">IF((C8&gt;0),D8/C8*100,0)</f>
        <v>141.83918765615334</v>
      </c>
      <c r="G8" s="30"/>
      <c r="H8" s="30"/>
    </row>
    <row r="9" spans="1:11" x14ac:dyDescent="0.25">
      <c r="A9" s="150">
        <v>1</v>
      </c>
      <c r="B9" s="36" t="s">
        <v>11</v>
      </c>
      <c r="C9" s="308">
        <f>C10+C11</f>
        <v>3498400</v>
      </c>
      <c r="D9" s="308">
        <f>D10+D11</f>
        <v>3516639.5622999994</v>
      </c>
      <c r="E9" s="315">
        <f t="shared" si="1"/>
        <v>100.52136869140176</v>
      </c>
      <c r="G9" s="6"/>
      <c r="H9" s="27"/>
      <c r="I9" s="28"/>
      <c r="J9" s="28"/>
      <c r="K9" s="28"/>
    </row>
    <row r="10" spans="1:11" x14ac:dyDescent="0.25">
      <c r="A10" s="150" t="s">
        <v>12</v>
      </c>
      <c r="B10" s="36" t="s">
        <v>13</v>
      </c>
      <c r="C10" s="88">
        <v>2322000</v>
      </c>
      <c r="D10" s="88">
        <v>2134624.7826529993</v>
      </c>
      <c r="E10" s="315">
        <f t="shared" si="1"/>
        <v>91.930438529414275</v>
      </c>
      <c r="H10" s="29"/>
    </row>
    <row r="11" spans="1:11" x14ac:dyDescent="0.25">
      <c r="A11" s="150" t="s">
        <v>12</v>
      </c>
      <c r="B11" s="36" t="s">
        <v>14</v>
      </c>
      <c r="C11" s="88">
        <v>1176400</v>
      </c>
      <c r="D11" s="88">
        <v>1382014.7796469999</v>
      </c>
      <c r="E11" s="315">
        <f t="shared" si="1"/>
        <v>117.47830496829307</v>
      </c>
      <c r="H11" s="6"/>
    </row>
    <row r="12" spans="1:11" x14ac:dyDescent="0.25">
      <c r="A12" s="150">
        <v>2</v>
      </c>
      <c r="B12" s="36" t="s">
        <v>15</v>
      </c>
      <c r="C12" s="308">
        <f>C13+C14</f>
        <v>5050248</v>
      </c>
      <c r="D12" s="308">
        <f>D13+D14</f>
        <v>6134248.6587339994</v>
      </c>
      <c r="E12" s="315">
        <f t="shared" si="1"/>
        <v>121.46430549022543</v>
      </c>
      <c r="H12" s="29"/>
    </row>
    <row r="13" spans="1:11" x14ac:dyDescent="0.25">
      <c r="A13" s="150" t="s">
        <v>12</v>
      </c>
      <c r="B13" s="36" t="s">
        <v>16</v>
      </c>
      <c r="C13" s="308">
        <v>3603517</v>
      </c>
      <c r="D13" s="309">
        <v>3603517</v>
      </c>
      <c r="E13" s="315">
        <f t="shared" si="1"/>
        <v>100</v>
      </c>
      <c r="H13" s="29"/>
    </row>
    <row r="14" spans="1:11" x14ac:dyDescent="0.25">
      <c r="A14" s="150" t="s">
        <v>12</v>
      </c>
      <c r="B14" s="36" t="s">
        <v>17</v>
      </c>
      <c r="C14" s="308">
        <v>1446731</v>
      </c>
      <c r="D14" s="309">
        <v>2530731.6587339998</v>
      </c>
      <c r="E14" s="315">
        <f t="shared" si="1"/>
        <v>174.92758907730598</v>
      </c>
      <c r="G14" s="6"/>
      <c r="H14" s="29"/>
    </row>
    <row r="15" spans="1:11" x14ac:dyDescent="0.25">
      <c r="A15" s="150">
        <v>3</v>
      </c>
      <c r="B15" s="36" t="s">
        <v>18</v>
      </c>
      <c r="C15" s="88"/>
      <c r="D15" s="88"/>
      <c r="E15" s="315">
        <f t="shared" si="1"/>
        <v>0</v>
      </c>
      <c r="H15" s="45"/>
    </row>
    <row r="16" spans="1:11" x14ac:dyDescent="0.25">
      <c r="A16" s="150">
        <v>4</v>
      </c>
      <c r="B16" s="36" t="s">
        <v>229</v>
      </c>
      <c r="C16" s="88"/>
      <c r="D16" s="88">
        <v>51794.075448000003</v>
      </c>
      <c r="E16" s="315">
        <f t="shared" si="1"/>
        <v>0</v>
      </c>
    </row>
    <row r="17" spans="1:11" x14ac:dyDescent="0.25">
      <c r="A17" s="150">
        <v>5</v>
      </c>
      <c r="B17" s="36" t="s">
        <v>19</v>
      </c>
      <c r="C17" s="88"/>
      <c r="D17" s="88">
        <v>2204821.3496130002</v>
      </c>
      <c r="E17" s="315">
        <f t="shared" si="1"/>
        <v>0</v>
      </c>
    </row>
    <row r="18" spans="1:11" x14ac:dyDescent="0.25">
      <c r="A18" s="150">
        <v>6</v>
      </c>
      <c r="B18" s="36" t="s">
        <v>137</v>
      </c>
      <c r="C18" s="88"/>
      <c r="D18" s="88">
        <v>194591.93462099999</v>
      </c>
      <c r="E18" s="315"/>
      <c r="H18" s="6"/>
    </row>
    <row r="19" spans="1:11" x14ac:dyDescent="0.25">
      <c r="A19" s="150">
        <v>7</v>
      </c>
      <c r="B19" s="36" t="s">
        <v>162</v>
      </c>
      <c r="C19" s="88"/>
      <c r="D19" s="88">
        <v>22936.998068000001</v>
      </c>
      <c r="E19" s="315"/>
    </row>
    <row r="20" spans="1:11" x14ac:dyDescent="0.25">
      <c r="A20" s="150">
        <v>8</v>
      </c>
      <c r="B20" s="36" t="s">
        <v>230</v>
      </c>
      <c r="C20" s="88"/>
      <c r="D20" s="88">
        <v>300</v>
      </c>
      <c r="E20" s="315"/>
    </row>
    <row r="21" spans="1:11" s="28" customFormat="1" x14ac:dyDescent="0.25">
      <c r="A21" s="100" t="s">
        <v>8</v>
      </c>
      <c r="B21" s="101" t="s">
        <v>20</v>
      </c>
      <c r="C21" s="310">
        <f>C22+C33+C36+C37</f>
        <v>8597048</v>
      </c>
      <c r="D21" s="310">
        <f>D22+D33+D36+D37</f>
        <v>12005744.061772998</v>
      </c>
      <c r="E21" s="316">
        <f t="shared" ref="E21:E45" si="2">IF((C21&gt;0),D21/C21*100,0)</f>
        <v>139.64961067767678</v>
      </c>
      <c r="G21" s="30"/>
      <c r="H21" s="30"/>
      <c r="I21" s="9"/>
      <c r="J21" s="9"/>
      <c r="K21" s="9"/>
    </row>
    <row r="22" spans="1:11" s="28" customFormat="1" x14ac:dyDescent="0.25">
      <c r="A22" s="100" t="s">
        <v>39</v>
      </c>
      <c r="B22" s="101" t="s">
        <v>547</v>
      </c>
      <c r="C22" s="310">
        <f>C23+C32</f>
        <v>7150317</v>
      </c>
      <c r="D22" s="310">
        <f>D23+D32</f>
        <v>6539335.5344669996</v>
      </c>
      <c r="E22" s="316">
        <f t="shared" si="2"/>
        <v>91.455183517975485</v>
      </c>
      <c r="H22" s="30"/>
    </row>
    <row r="23" spans="1:11" s="28" customFormat="1" x14ac:dyDescent="0.25">
      <c r="A23" s="100" t="s">
        <v>257</v>
      </c>
      <c r="B23" s="101" t="s">
        <v>548</v>
      </c>
      <c r="C23" s="310">
        <f>SUM(C24:C31)</f>
        <v>7101917</v>
      </c>
      <c r="D23" s="310">
        <f>SUM(D24:D31)</f>
        <v>6516398.5363989994</v>
      </c>
      <c r="E23" s="316">
        <f t="shared" si="2"/>
        <v>91.755487094526728</v>
      </c>
      <c r="H23" s="30"/>
    </row>
    <row r="24" spans="1:11" x14ac:dyDescent="0.25">
      <c r="A24" s="150">
        <v>1</v>
      </c>
      <c r="B24" s="36" t="s">
        <v>21</v>
      </c>
      <c r="C24" s="88">
        <v>808020</v>
      </c>
      <c r="D24" s="88">
        <v>1127172.75397</v>
      </c>
      <c r="E24" s="315">
        <f t="shared" si="2"/>
        <v>139.49812553773421</v>
      </c>
      <c r="H24" s="30"/>
      <c r="I24" s="28"/>
      <c r="J24" s="28"/>
      <c r="K24" s="28"/>
    </row>
    <row r="25" spans="1:11" x14ac:dyDescent="0.25">
      <c r="A25" s="150">
        <v>2</v>
      </c>
      <c r="B25" s="36" t="s">
        <v>22</v>
      </c>
      <c r="C25" s="88">
        <v>4959919</v>
      </c>
      <c r="D25" s="88">
        <v>5030942.4719049996</v>
      </c>
      <c r="E25" s="315">
        <f t="shared" si="2"/>
        <v>101.43194822143265</v>
      </c>
      <c r="G25" s="6"/>
      <c r="H25" s="6"/>
    </row>
    <row r="26" spans="1:11" ht="31.5" x14ac:dyDescent="0.25">
      <c r="A26" s="150">
        <v>3</v>
      </c>
      <c r="B26" s="36" t="s">
        <v>231</v>
      </c>
      <c r="C26" s="88">
        <v>2200</v>
      </c>
      <c r="D26" s="88">
        <v>9699.7659999999996</v>
      </c>
      <c r="E26" s="315">
        <f t="shared" si="2"/>
        <v>440.89845454545451</v>
      </c>
    </row>
    <row r="27" spans="1:11" x14ac:dyDescent="0.25">
      <c r="A27" s="150">
        <v>4</v>
      </c>
      <c r="B27" s="36" t="s">
        <v>23</v>
      </c>
      <c r="C27" s="88">
        <v>1000</v>
      </c>
      <c r="D27" s="88">
        <v>24154</v>
      </c>
      <c r="E27" s="315">
        <f t="shared" si="2"/>
        <v>2415.4</v>
      </c>
    </row>
    <row r="28" spans="1:11" x14ac:dyDescent="0.25">
      <c r="A28" s="150">
        <v>5</v>
      </c>
      <c r="B28" s="36" t="s">
        <v>24</v>
      </c>
      <c r="C28" s="88">
        <v>142038</v>
      </c>
      <c r="D28" s="88">
        <v>0</v>
      </c>
      <c r="E28" s="315">
        <f t="shared" si="2"/>
        <v>0</v>
      </c>
    </row>
    <row r="29" spans="1:11" x14ac:dyDescent="0.25">
      <c r="A29" s="150">
        <v>6</v>
      </c>
      <c r="B29" s="36" t="s">
        <v>424</v>
      </c>
      <c r="C29" s="88">
        <v>1188740</v>
      </c>
      <c r="D29" s="88">
        <v>289806.20163799997</v>
      </c>
      <c r="E29" s="315">
        <f t="shared" si="2"/>
        <v>24.379275673233842</v>
      </c>
    </row>
    <row r="30" spans="1:11" x14ac:dyDescent="0.25">
      <c r="A30" s="150">
        <v>7</v>
      </c>
      <c r="B30" s="36" t="s">
        <v>552</v>
      </c>
      <c r="C30" s="88"/>
      <c r="D30" s="88">
        <v>23623.342885999999</v>
      </c>
      <c r="E30" s="315">
        <f t="shared" si="2"/>
        <v>0</v>
      </c>
    </row>
    <row r="31" spans="1:11" x14ac:dyDescent="0.25">
      <c r="A31" s="150">
        <v>8</v>
      </c>
      <c r="B31" s="36" t="s">
        <v>426</v>
      </c>
      <c r="C31" s="88">
        <v>0</v>
      </c>
      <c r="D31" s="88">
        <v>11000</v>
      </c>
      <c r="E31" s="315">
        <f t="shared" si="2"/>
        <v>0</v>
      </c>
    </row>
    <row r="32" spans="1:11" x14ac:dyDescent="0.25">
      <c r="A32" s="100" t="s">
        <v>363</v>
      </c>
      <c r="B32" s="101" t="s">
        <v>243</v>
      </c>
      <c r="C32" s="272">
        <v>48400</v>
      </c>
      <c r="D32" s="272">
        <v>22936.998068000001</v>
      </c>
      <c r="E32" s="316">
        <f t="shared" si="2"/>
        <v>47.39049187603306</v>
      </c>
    </row>
    <row r="33" spans="1:5" s="28" customFormat="1" x14ac:dyDescent="0.25">
      <c r="A33" s="100" t="s">
        <v>25</v>
      </c>
      <c r="B33" s="101" t="s">
        <v>26</v>
      </c>
      <c r="C33" s="310">
        <f>C34+C35</f>
        <v>1446731</v>
      </c>
      <c r="D33" s="311">
        <f>D34+D35</f>
        <v>1389457.812434</v>
      </c>
      <c r="E33" s="316">
        <f t="shared" si="2"/>
        <v>96.041199948988449</v>
      </c>
    </row>
    <row r="34" spans="1:5" ht="15.75" customHeight="1" x14ac:dyDescent="0.25">
      <c r="A34" s="150">
        <v>1</v>
      </c>
      <c r="B34" s="36" t="s">
        <v>27</v>
      </c>
      <c r="C34" s="308">
        <v>0</v>
      </c>
      <c r="D34" s="309">
        <v>307765.92214800004</v>
      </c>
      <c r="E34" s="315">
        <f t="shared" si="2"/>
        <v>0</v>
      </c>
    </row>
    <row r="35" spans="1:5" x14ac:dyDescent="0.25">
      <c r="A35" s="150">
        <v>2</v>
      </c>
      <c r="B35" s="36" t="s">
        <v>28</v>
      </c>
      <c r="C35" s="308">
        <v>1446731</v>
      </c>
      <c r="D35" s="309">
        <v>1081691.890286</v>
      </c>
      <c r="E35" s="315">
        <f t="shared" si="2"/>
        <v>74.768003885034602</v>
      </c>
    </row>
    <row r="36" spans="1:5" s="28" customFormat="1" x14ac:dyDescent="0.25">
      <c r="A36" s="100" t="s">
        <v>29</v>
      </c>
      <c r="B36" s="101" t="s">
        <v>30</v>
      </c>
      <c r="C36" s="310">
        <v>0</v>
      </c>
      <c r="D36" s="312">
        <v>3563988.770759</v>
      </c>
      <c r="E36" s="315">
        <f t="shared" si="2"/>
        <v>0</v>
      </c>
    </row>
    <row r="37" spans="1:5" s="28" customFormat="1" x14ac:dyDescent="0.25">
      <c r="A37" s="100" t="s">
        <v>56</v>
      </c>
      <c r="B37" s="101" t="s">
        <v>146</v>
      </c>
      <c r="C37" s="310">
        <v>0</v>
      </c>
      <c r="D37" s="312">
        <v>512961.94411300001</v>
      </c>
      <c r="E37" s="315">
        <f t="shared" si="2"/>
        <v>0</v>
      </c>
    </row>
    <row r="38" spans="1:5" s="28" customFormat="1" x14ac:dyDescent="0.25">
      <c r="A38" s="100" t="s">
        <v>31</v>
      </c>
      <c r="B38" s="101" t="s">
        <v>388</v>
      </c>
      <c r="C38" s="310"/>
      <c r="D38" s="310"/>
      <c r="E38" s="316">
        <f t="shared" si="2"/>
        <v>0</v>
      </c>
    </row>
    <row r="39" spans="1:5" s="28" customFormat="1" x14ac:dyDescent="0.25">
      <c r="A39" s="100" t="s">
        <v>32</v>
      </c>
      <c r="B39" s="101" t="s">
        <v>165</v>
      </c>
      <c r="C39" s="310">
        <f>C40+C41</f>
        <v>8600</v>
      </c>
      <c r="D39" s="310">
        <f>D40+D41</f>
        <v>8443</v>
      </c>
      <c r="E39" s="316">
        <f t="shared" si="2"/>
        <v>98.174418604651166</v>
      </c>
    </row>
    <row r="40" spans="1:5" hidden="1" outlineLevel="1" x14ac:dyDescent="0.25">
      <c r="A40" s="150">
        <v>1</v>
      </c>
      <c r="B40" s="36" t="s">
        <v>166</v>
      </c>
      <c r="C40" s="88">
        <v>8600</v>
      </c>
      <c r="D40" s="88"/>
      <c r="E40" s="315">
        <f t="shared" si="2"/>
        <v>0</v>
      </c>
    </row>
    <row r="41" spans="1:5" ht="31.5" hidden="1" outlineLevel="1" x14ac:dyDescent="0.25">
      <c r="A41" s="150">
        <v>2</v>
      </c>
      <c r="B41" s="36" t="s">
        <v>167</v>
      </c>
      <c r="C41" s="309"/>
      <c r="D41" s="309">
        <v>8443</v>
      </c>
      <c r="E41" s="315">
        <f t="shared" si="2"/>
        <v>0</v>
      </c>
    </row>
    <row r="42" spans="1:5" s="28" customFormat="1" collapsed="1" x14ac:dyDescent="0.25">
      <c r="A42" s="100" t="s">
        <v>172</v>
      </c>
      <c r="B42" s="101" t="s">
        <v>168</v>
      </c>
      <c r="C42" s="310">
        <f>C43+C44</f>
        <v>57000</v>
      </c>
      <c r="D42" s="310">
        <f>D43+D44</f>
        <v>22937</v>
      </c>
      <c r="E42" s="316">
        <f t="shared" si="2"/>
        <v>40.240350877192981</v>
      </c>
    </row>
    <row r="43" spans="1:5" hidden="1" outlineLevel="1" x14ac:dyDescent="0.25">
      <c r="A43" s="150">
        <v>1</v>
      </c>
      <c r="B43" s="36" t="s">
        <v>169</v>
      </c>
      <c r="C43" s="88">
        <v>48400</v>
      </c>
      <c r="D43" s="308">
        <v>22937</v>
      </c>
      <c r="E43" s="315">
        <f t="shared" si="2"/>
        <v>47.390495867768593</v>
      </c>
    </row>
    <row r="44" spans="1:5" hidden="1" outlineLevel="1" x14ac:dyDescent="0.25">
      <c r="A44" s="150">
        <v>2</v>
      </c>
      <c r="B44" s="36" t="s">
        <v>170</v>
      </c>
      <c r="C44" s="88">
        <v>8600</v>
      </c>
      <c r="D44" s="308"/>
      <c r="E44" s="315">
        <f t="shared" si="2"/>
        <v>0</v>
      </c>
    </row>
    <row r="45" spans="1:5" s="28" customFormat="1" collapsed="1" x14ac:dyDescent="0.25">
      <c r="A45" s="106" t="s">
        <v>33</v>
      </c>
      <c r="B45" s="107" t="s">
        <v>171</v>
      </c>
      <c r="C45" s="313">
        <v>106043</v>
      </c>
      <c r="D45" s="313">
        <v>74527</v>
      </c>
      <c r="E45" s="317">
        <f t="shared" si="2"/>
        <v>70.279980762520864</v>
      </c>
    </row>
    <row r="46" spans="1:5" x14ac:dyDescent="0.25">
      <c r="A46" s="46"/>
      <c r="C46" s="10"/>
      <c r="D46" s="10"/>
    </row>
    <row r="47" spans="1:5" x14ac:dyDescent="0.25">
      <c r="C47" s="10"/>
      <c r="D47" s="10"/>
    </row>
  </sheetData>
  <mergeCells count="2">
    <mergeCell ref="A3:E3"/>
    <mergeCell ref="A4:E4"/>
  </mergeCells>
  <printOptions horizontalCentered="1"/>
  <pageMargins left="0.45" right="0"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123"/>
  <sheetViews>
    <sheetView zoomScale="80" zoomScaleNormal="80" workbookViewId="0">
      <selection activeCell="C13" sqref="C13"/>
    </sheetView>
  </sheetViews>
  <sheetFormatPr defaultRowHeight="15.75" outlineLevelCol="2" x14ac:dyDescent="0.25"/>
  <cols>
    <col min="1" max="1" width="5.42578125" style="9" customWidth="1"/>
    <col min="2" max="2" width="45.140625" style="9" customWidth="1"/>
    <col min="3" max="3" width="15.140625" style="9" customWidth="1"/>
    <col min="4" max="4" width="16.42578125" style="9" customWidth="1" outlineLevel="1"/>
    <col min="5" max="5" width="17.140625" style="9" customWidth="1" outlineLevel="1"/>
    <col min="6" max="8" width="17.140625" style="9" hidden="1" customWidth="1" outlineLevel="2"/>
    <col min="9" max="9" width="15.85546875" style="9" customWidth="1" outlineLevel="1" collapsed="1"/>
    <col min="10" max="10" width="13.85546875" style="9" customWidth="1" outlineLevel="1"/>
    <col min="11" max="11" width="11.140625" style="9" customWidth="1" outlineLevel="1"/>
    <col min="12" max="12" width="11.85546875" style="9" customWidth="1" outlineLevel="1"/>
    <col min="13" max="13" width="10.42578125" style="9" customWidth="1" outlineLevel="1"/>
    <col min="14" max="14" width="16.42578125" style="9" customWidth="1"/>
    <col min="15" max="15" width="14.140625" style="9" customWidth="1" outlineLevel="1"/>
    <col min="16" max="16" width="15.85546875" style="9" customWidth="1" outlineLevel="1"/>
    <col min="17" max="17" width="18.85546875" style="9" hidden="1" customWidth="1" outlineLevel="2"/>
    <col min="18" max="18" width="18.42578125" style="9" hidden="1" customWidth="1" outlineLevel="2"/>
    <col min="19" max="19" width="11.85546875" style="9" customWidth="1" outlineLevel="1" collapsed="1"/>
    <col min="20" max="20" width="20.7109375" style="9" customWidth="1" outlineLevel="1"/>
    <col min="21" max="21" width="15.5703125" style="9" customWidth="1" outlineLevel="1"/>
    <col min="22" max="22" width="12.5703125" style="9" customWidth="1" outlineLevel="1"/>
    <col min="23" max="23" width="11.140625" style="9" customWidth="1" outlineLevel="1"/>
    <col min="24" max="24" width="15.5703125" style="9" customWidth="1" outlineLevel="1"/>
    <col min="25" max="25" width="13.7109375" style="9" hidden="1" customWidth="1" outlineLevel="2"/>
    <col min="26" max="26" width="11.7109375" style="9" hidden="1" customWidth="1" outlineLevel="2"/>
    <col min="27" max="27" width="15" style="9" customWidth="1" outlineLevel="1" collapsed="1"/>
    <col min="28" max="28" width="11.140625" style="9" customWidth="1"/>
    <col min="29" max="29" width="10.7109375" style="9" customWidth="1"/>
    <col min="30" max="30" width="9.7109375" style="9" customWidth="1"/>
    <col min="31" max="31" width="11.5703125" style="9" customWidth="1"/>
    <col min="32" max="32" width="9.140625" style="111"/>
    <col min="33" max="33" width="17.5703125" style="9" customWidth="1"/>
    <col min="34" max="34" width="31.140625" style="9" customWidth="1"/>
    <col min="35" max="35" width="16.7109375" style="9" customWidth="1"/>
    <col min="36" max="36" width="9.140625" style="9"/>
    <col min="37" max="37" width="22.28515625" style="9" customWidth="1"/>
    <col min="38" max="38" width="24.42578125" style="9" customWidth="1"/>
    <col min="39" max="262" width="9.140625" style="9"/>
    <col min="263" max="263" width="5.42578125" style="9" customWidth="1"/>
    <col min="264" max="264" width="45.140625" style="9" customWidth="1"/>
    <col min="265" max="266" width="12" style="9" customWidth="1"/>
    <col min="267" max="267" width="16.140625" style="9" customWidth="1"/>
    <col min="268" max="268" width="7.7109375" style="9" customWidth="1"/>
    <col min="269" max="269" width="12" style="9" customWidth="1"/>
    <col min="270" max="271" width="9" style="9" customWidth="1"/>
    <col min="272" max="272" width="11.28515625" style="9" customWidth="1"/>
    <col min="273" max="274" width="12" style="9" customWidth="1"/>
    <col min="275" max="275" width="17.140625" style="9" customWidth="1"/>
    <col min="276" max="276" width="9" style="9" customWidth="1"/>
    <col min="277" max="277" width="12" style="9" customWidth="1"/>
    <col min="278" max="279" width="9" style="9" customWidth="1"/>
    <col min="280" max="280" width="9.85546875" style="9" customWidth="1"/>
    <col min="281" max="281" width="10.140625" style="9" customWidth="1"/>
    <col min="282" max="282" width="7.85546875" style="9" customWidth="1"/>
    <col min="283" max="283" width="8.5703125" style="9" customWidth="1"/>
    <col min="284" max="284" width="7.85546875" style="9" customWidth="1"/>
    <col min="285" max="285" width="8.7109375" style="9" customWidth="1"/>
    <col min="286" max="518" width="9.140625" style="9"/>
    <col min="519" max="519" width="5.42578125" style="9" customWidth="1"/>
    <col min="520" max="520" width="45.140625" style="9" customWidth="1"/>
    <col min="521" max="522" width="12" style="9" customWidth="1"/>
    <col min="523" max="523" width="16.140625" style="9" customWidth="1"/>
    <col min="524" max="524" width="7.7109375" style="9" customWidth="1"/>
    <col min="525" max="525" width="12" style="9" customWidth="1"/>
    <col min="526" max="527" width="9" style="9" customWidth="1"/>
    <col min="528" max="528" width="11.28515625" style="9" customWidth="1"/>
    <col min="529" max="530" width="12" style="9" customWidth="1"/>
    <col min="531" max="531" width="17.140625" style="9" customWidth="1"/>
    <col min="532" max="532" width="9" style="9" customWidth="1"/>
    <col min="533" max="533" width="12" style="9" customWidth="1"/>
    <col min="534" max="535" width="9" style="9" customWidth="1"/>
    <col min="536" max="536" width="9.85546875" style="9" customWidth="1"/>
    <col min="537" max="537" width="10.140625" style="9" customWidth="1"/>
    <col min="538" max="538" width="7.85546875" style="9" customWidth="1"/>
    <col min="539" max="539" width="8.5703125" style="9" customWidth="1"/>
    <col min="540" max="540" width="7.85546875" style="9" customWidth="1"/>
    <col min="541" max="541" width="8.7109375" style="9" customWidth="1"/>
    <col min="542" max="774" width="9.140625" style="9"/>
    <col min="775" max="775" width="5.42578125" style="9" customWidth="1"/>
    <col min="776" max="776" width="45.140625" style="9" customWidth="1"/>
    <col min="777" max="778" width="12" style="9" customWidth="1"/>
    <col min="779" max="779" width="16.140625" style="9" customWidth="1"/>
    <col min="780" max="780" width="7.7109375" style="9" customWidth="1"/>
    <col min="781" max="781" width="12" style="9" customWidth="1"/>
    <col min="782" max="783" width="9" style="9" customWidth="1"/>
    <col min="784" max="784" width="11.28515625" style="9" customWidth="1"/>
    <col min="785" max="786" width="12" style="9" customWidth="1"/>
    <col min="787" max="787" width="17.140625" style="9" customWidth="1"/>
    <col min="788" max="788" width="9" style="9" customWidth="1"/>
    <col min="789" max="789" width="12" style="9" customWidth="1"/>
    <col min="790" max="791" width="9" style="9" customWidth="1"/>
    <col min="792" max="792" width="9.85546875" style="9" customWidth="1"/>
    <col min="793" max="793" width="10.140625" style="9" customWidth="1"/>
    <col min="794" max="794" width="7.85546875" style="9" customWidth="1"/>
    <col min="795" max="795" width="8.5703125" style="9" customWidth="1"/>
    <col min="796" max="796" width="7.85546875" style="9" customWidth="1"/>
    <col min="797" max="797" width="8.7109375" style="9" customWidth="1"/>
    <col min="798" max="1030" width="9.140625" style="9"/>
    <col min="1031" max="1031" width="5.42578125" style="9" customWidth="1"/>
    <col min="1032" max="1032" width="45.140625" style="9" customWidth="1"/>
    <col min="1033" max="1034" width="12" style="9" customWidth="1"/>
    <col min="1035" max="1035" width="16.140625" style="9" customWidth="1"/>
    <col min="1036" max="1036" width="7.7109375" style="9" customWidth="1"/>
    <col min="1037" max="1037" width="12" style="9" customWidth="1"/>
    <col min="1038" max="1039" width="9" style="9" customWidth="1"/>
    <col min="1040" max="1040" width="11.28515625" style="9" customWidth="1"/>
    <col min="1041" max="1042" width="12" style="9" customWidth="1"/>
    <col min="1043" max="1043" width="17.140625" style="9" customWidth="1"/>
    <col min="1044" max="1044" width="9" style="9" customWidth="1"/>
    <col min="1045" max="1045" width="12" style="9" customWidth="1"/>
    <col min="1046" max="1047" width="9" style="9" customWidth="1"/>
    <col min="1048" max="1048" width="9.85546875" style="9" customWidth="1"/>
    <col min="1049" max="1049" width="10.140625" style="9" customWidth="1"/>
    <col min="1050" max="1050" width="7.85546875" style="9" customWidth="1"/>
    <col min="1051" max="1051" width="8.5703125" style="9" customWidth="1"/>
    <col min="1052" max="1052" width="7.85546875" style="9" customWidth="1"/>
    <col min="1053" max="1053" width="8.7109375" style="9" customWidth="1"/>
    <col min="1054" max="1286" width="9.140625" style="9"/>
    <col min="1287" max="1287" width="5.42578125" style="9" customWidth="1"/>
    <col min="1288" max="1288" width="45.140625" style="9" customWidth="1"/>
    <col min="1289" max="1290" width="12" style="9" customWidth="1"/>
    <col min="1291" max="1291" width="16.140625" style="9" customWidth="1"/>
    <col min="1292" max="1292" width="7.7109375" style="9" customWidth="1"/>
    <col min="1293" max="1293" width="12" style="9" customWidth="1"/>
    <col min="1294" max="1295" width="9" style="9" customWidth="1"/>
    <col min="1296" max="1296" width="11.28515625" style="9" customWidth="1"/>
    <col min="1297" max="1298" width="12" style="9" customWidth="1"/>
    <col min="1299" max="1299" width="17.140625" style="9" customWidth="1"/>
    <col min="1300" max="1300" width="9" style="9" customWidth="1"/>
    <col min="1301" max="1301" width="12" style="9" customWidth="1"/>
    <col min="1302" max="1303" width="9" style="9" customWidth="1"/>
    <col min="1304" max="1304" width="9.85546875" style="9" customWidth="1"/>
    <col min="1305" max="1305" width="10.140625" style="9" customWidth="1"/>
    <col min="1306" max="1306" width="7.85546875" style="9" customWidth="1"/>
    <col min="1307" max="1307" width="8.5703125" style="9" customWidth="1"/>
    <col min="1308" max="1308" width="7.85546875" style="9" customWidth="1"/>
    <col min="1309" max="1309" width="8.7109375" style="9" customWidth="1"/>
    <col min="1310" max="1542" width="9.140625" style="9"/>
    <col min="1543" max="1543" width="5.42578125" style="9" customWidth="1"/>
    <col min="1544" max="1544" width="45.140625" style="9" customWidth="1"/>
    <col min="1545" max="1546" width="12" style="9" customWidth="1"/>
    <col min="1547" max="1547" width="16.140625" style="9" customWidth="1"/>
    <col min="1548" max="1548" width="7.7109375" style="9" customWidth="1"/>
    <col min="1549" max="1549" width="12" style="9" customWidth="1"/>
    <col min="1550" max="1551" width="9" style="9" customWidth="1"/>
    <col min="1552" max="1552" width="11.28515625" style="9" customWidth="1"/>
    <col min="1553" max="1554" width="12" style="9" customWidth="1"/>
    <col min="1555" max="1555" width="17.140625" style="9" customWidth="1"/>
    <col min="1556" max="1556" width="9" style="9" customWidth="1"/>
    <col min="1557" max="1557" width="12" style="9" customWidth="1"/>
    <col min="1558" max="1559" width="9" style="9" customWidth="1"/>
    <col min="1560" max="1560" width="9.85546875" style="9" customWidth="1"/>
    <col min="1561" max="1561" width="10.140625" style="9" customWidth="1"/>
    <col min="1562" max="1562" width="7.85546875" style="9" customWidth="1"/>
    <col min="1563" max="1563" width="8.5703125" style="9" customWidth="1"/>
    <col min="1564" max="1564" width="7.85546875" style="9" customWidth="1"/>
    <col min="1565" max="1565" width="8.7109375" style="9" customWidth="1"/>
    <col min="1566" max="1798" width="9.140625" style="9"/>
    <col min="1799" max="1799" width="5.42578125" style="9" customWidth="1"/>
    <col min="1800" max="1800" width="45.140625" style="9" customWidth="1"/>
    <col min="1801" max="1802" width="12" style="9" customWidth="1"/>
    <col min="1803" max="1803" width="16.140625" style="9" customWidth="1"/>
    <col min="1804" max="1804" width="7.7109375" style="9" customWidth="1"/>
    <col min="1805" max="1805" width="12" style="9" customWidth="1"/>
    <col min="1806" max="1807" width="9" style="9" customWidth="1"/>
    <col min="1808" max="1808" width="11.28515625" style="9" customWidth="1"/>
    <col min="1809" max="1810" width="12" style="9" customWidth="1"/>
    <col min="1811" max="1811" width="17.140625" style="9" customWidth="1"/>
    <col min="1812" max="1812" width="9" style="9" customWidth="1"/>
    <col min="1813" max="1813" width="12" style="9" customWidth="1"/>
    <col min="1814" max="1815" width="9" style="9" customWidth="1"/>
    <col min="1816" max="1816" width="9.85546875" style="9" customWidth="1"/>
    <col min="1817" max="1817" width="10.140625" style="9" customWidth="1"/>
    <col min="1818" max="1818" width="7.85546875" style="9" customWidth="1"/>
    <col min="1819" max="1819" width="8.5703125" style="9" customWidth="1"/>
    <col min="1820" max="1820" width="7.85546875" style="9" customWidth="1"/>
    <col min="1821" max="1821" width="8.7109375" style="9" customWidth="1"/>
    <col min="1822" max="2054" width="9.140625" style="9"/>
    <col min="2055" max="2055" width="5.42578125" style="9" customWidth="1"/>
    <col min="2056" max="2056" width="45.140625" style="9" customWidth="1"/>
    <col min="2057" max="2058" width="12" style="9" customWidth="1"/>
    <col min="2059" max="2059" width="16.140625" style="9" customWidth="1"/>
    <col min="2060" max="2060" width="7.7109375" style="9" customWidth="1"/>
    <col min="2061" max="2061" width="12" style="9" customWidth="1"/>
    <col min="2062" max="2063" width="9" style="9" customWidth="1"/>
    <col min="2064" max="2064" width="11.28515625" style="9" customWidth="1"/>
    <col min="2065" max="2066" width="12" style="9" customWidth="1"/>
    <col min="2067" max="2067" width="17.140625" style="9" customWidth="1"/>
    <col min="2068" max="2068" width="9" style="9" customWidth="1"/>
    <col min="2069" max="2069" width="12" style="9" customWidth="1"/>
    <col min="2070" max="2071" width="9" style="9" customWidth="1"/>
    <col min="2072" max="2072" width="9.85546875" style="9" customWidth="1"/>
    <col min="2073" max="2073" width="10.140625" style="9" customWidth="1"/>
    <col min="2074" max="2074" width="7.85546875" style="9" customWidth="1"/>
    <col min="2075" max="2075" width="8.5703125" style="9" customWidth="1"/>
    <col min="2076" max="2076" width="7.85546875" style="9" customWidth="1"/>
    <col min="2077" max="2077" width="8.7109375" style="9" customWidth="1"/>
    <col min="2078" max="2310" width="9.140625" style="9"/>
    <col min="2311" max="2311" width="5.42578125" style="9" customWidth="1"/>
    <col min="2312" max="2312" width="45.140625" style="9" customWidth="1"/>
    <col min="2313" max="2314" width="12" style="9" customWidth="1"/>
    <col min="2315" max="2315" width="16.140625" style="9" customWidth="1"/>
    <col min="2316" max="2316" width="7.7109375" style="9" customWidth="1"/>
    <col min="2317" max="2317" width="12" style="9" customWidth="1"/>
    <col min="2318" max="2319" width="9" style="9" customWidth="1"/>
    <col min="2320" max="2320" width="11.28515625" style="9" customWidth="1"/>
    <col min="2321" max="2322" width="12" style="9" customWidth="1"/>
    <col min="2323" max="2323" width="17.140625" style="9" customWidth="1"/>
    <col min="2324" max="2324" width="9" style="9" customWidth="1"/>
    <col min="2325" max="2325" width="12" style="9" customWidth="1"/>
    <col min="2326" max="2327" width="9" style="9" customWidth="1"/>
    <col min="2328" max="2328" width="9.85546875" style="9" customWidth="1"/>
    <col min="2329" max="2329" width="10.140625" style="9" customWidth="1"/>
    <col min="2330" max="2330" width="7.85546875" style="9" customWidth="1"/>
    <col min="2331" max="2331" width="8.5703125" style="9" customWidth="1"/>
    <col min="2332" max="2332" width="7.85546875" style="9" customWidth="1"/>
    <col min="2333" max="2333" width="8.7109375" style="9" customWidth="1"/>
    <col min="2334" max="2566" width="9.140625" style="9"/>
    <col min="2567" max="2567" width="5.42578125" style="9" customWidth="1"/>
    <col min="2568" max="2568" width="45.140625" style="9" customWidth="1"/>
    <col min="2569" max="2570" width="12" style="9" customWidth="1"/>
    <col min="2571" max="2571" width="16.140625" style="9" customWidth="1"/>
    <col min="2572" max="2572" width="7.7109375" style="9" customWidth="1"/>
    <col min="2573" max="2573" width="12" style="9" customWidth="1"/>
    <col min="2574" max="2575" width="9" style="9" customWidth="1"/>
    <col min="2576" max="2576" width="11.28515625" style="9" customWidth="1"/>
    <col min="2577" max="2578" width="12" style="9" customWidth="1"/>
    <col min="2579" max="2579" width="17.140625" style="9" customWidth="1"/>
    <col min="2580" max="2580" width="9" style="9" customWidth="1"/>
    <col min="2581" max="2581" width="12" style="9" customWidth="1"/>
    <col min="2582" max="2583" width="9" style="9" customWidth="1"/>
    <col min="2584" max="2584" width="9.85546875" style="9" customWidth="1"/>
    <col min="2585" max="2585" width="10.140625" style="9" customWidth="1"/>
    <col min="2586" max="2586" width="7.85546875" style="9" customWidth="1"/>
    <col min="2587" max="2587" width="8.5703125" style="9" customWidth="1"/>
    <col min="2588" max="2588" width="7.85546875" style="9" customWidth="1"/>
    <col min="2589" max="2589" width="8.7109375" style="9" customWidth="1"/>
    <col min="2590" max="2822" width="9.140625" style="9"/>
    <col min="2823" max="2823" width="5.42578125" style="9" customWidth="1"/>
    <col min="2824" max="2824" width="45.140625" style="9" customWidth="1"/>
    <col min="2825" max="2826" width="12" style="9" customWidth="1"/>
    <col min="2827" max="2827" width="16.140625" style="9" customWidth="1"/>
    <col min="2828" max="2828" width="7.7109375" style="9" customWidth="1"/>
    <col min="2829" max="2829" width="12" style="9" customWidth="1"/>
    <col min="2830" max="2831" width="9" style="9" customWidth="1"/>
    <col min="2832" max="2832" width="11.28515625" style="9" customWidth="1"/>
    <col min="2833" max="2834" width="12" style="9" customWidth="1"/>
    <col min="2835" max="2835" width="17.140625" style="9" customWidth="1"/>
    <col min="2836" max="2836" width="9" style="9" customWidth="1"/>
    <col min="2837" max="2837" width="12" style="9" customWidth="1"/>
    <col min="2838" max="2839" width="9" style="9" customWidth="1"/>
    <col min="2840" max="2840" width="9.85546875" style="9" customWidth="1"/>
    <col min="2841" max="2841" width="10.140625" style="9" customWidth="1"/>
    <col min="2842" max="2842" width="7.85546875" style="9" customWidth="1"/>
    <col min="2843" max="2843" width="8.5703125" style="9" customWidth="1"/>
    <col min="2844" max="2844" width="7.85546875" style="9" customWidth="1"/>
    <col min="2845" max="2845" width="8.7109375" style="9" customWidth="1"/>
    <col min="2846" max="3078" width="9.140625" style="9"/>
    <col min="3079" max="3079" width="5.42578125" style="9" customWidth="1"/>
    <col min="3080" max="3080" width="45.140625" style="9" customWidth="1"/>
    <col min="3081" max="3082" width="12" style="9" customWidth="1"/>
    <col min="3083" max="3083" width="16.140625" style="9" customWidth="1"/>
    <col min="3084" max="3084" width="7.7109375" style="9" customWidth="1"/>
    <col min="3085" max="3085" width="12" style="9" customWidth="1"/>
    <col min="3086" max="3087" width="9" style="9" customWidth="1"/>
    <col min="3088" max="3088" width="11.28515625" style="9" customWidth="1"/>
    <col min="3089" max="3090" width="12" style="9" customWidth="1"/>
    <col min="3091" max="3091" width="17.140625" style="9" customWidth="1"/>
    <col min="3092" max="3092" width="9" style="9" customWidth="1"/>
    <col min="3093" max="3093" width="12" style="9" customWidth="1"/>
    <col min="3094" max="3095" width="9" style="9" customWidth="1"/>
    <col min="3096" max="3096" width="9.85546875" style="9" customWidth="1"/>
    <col min="3097" max="3097" width="10.140625" style="9" customWidth="1"/>
    <col min="3098" max="3098" width="7.85546875" style="9" customWidth="1"/>
    <col min="3099" max="3099" width="8.5703125" style="9" customWidth="1"/>
    <col min="3100" max="3100" width="7.85546875" style="9" customWidth="1"/>
    <col min="3101" max="3101" width="8.7109375" style="9" customWidth="1"/>
    <col min="3102" max="3334" width="9.140625" style="9"/>
    <col min="3335" max="3335" width="5.42578125" style="9" customWidth="1"/>
    <col min="3336" max="3336" width="45.140625" style="9" customWidth="1"/>
    <col min="3337" max="3338" width="12" style="9" customWidth="1"/>
    <col min="3339" max="3339" width="16.140625" style="9" customWidth="1"/>
    <col min="3340" max="3340" width="7.7109375" style="9" customWidth="1"/>
    <col min="3341" max="3341" width="12" style="9" customWidth="1"/>
    <col min="3342" max="3343" width="9" style="9" customWidth="1"/>
    <col min="3344" max="3344" width="11.28515625" style="9" customWidth="1"/>
    <col min="3345" max="3346" width="12" style="9" customWidth="1"/>
    <col min="3347" max="3347" width="17.140625" style="9" customWidth="1"/>
    <col min="3348" max="3348" width="9" style="9" customWidth="1"/>
    <col min="3349" max="3349" width="12" style="9" customWidth="1"/>
    <col min="3350" max="3351" width="9" style="9" customWidth="1"/>
    <col min="3352" max="3352" width="9.85546875" style="9" customWidth="1"/>
    <col min="3353" max="3353" width="10.140625" style="9" customWidth="1"/>
    <col min="3354" max="3354" width="7.85546875" style="9" customWidth="1"/>
    <col min="3355" max="3355" width="8.5703125" style="9" customWidth="1"/>
    <col min="3356" max="3356" width="7.85546875" style="9" customWidth="1"/>
    <col min="3357" max="3357" width="8.7109375" style="9" customWidth="1"/>
    <col min="3358" max="3590" width="9.140625" style="9"/>
    <col min="3591" max="3591" width="5.42578125" style="9" customWidth="1"/>
    <col min="3592" max="3592" width="45.140625" style="9" customWidth="1"/>
    <col min="3593" max="3594" width="12" style="9" customWidth="1"/>
    <col min="3595" max="3595" width="16.140625" style="9" customWidth="1"/>
    <col min="3596" max="3596" width="7.7109375" style="9" customWidth="1"/>
    <col min="3597" max="3597" width="12" style="9" customWidth="1"/>
    <col min="3598" max="3599" width="9" style="9" customWidth="1"/>
    <col min="3600" max="3600" width="11.28515625" style="9" customWidth="1"/>
    <col min="3601" max="3602" width="12" style="9" customWidth="1"/>
    <col min="3603" max="3603" width="17.140625" style="9" customWidth="1"/>
    <col min="3604" max="3604" width="9" style="9" customWidth="1"/>
    <col min="3605" max="3605" width="12" style="9" customWidth="1"/>
    <col min="3606" max="3607" width="9" style="9" customWidth="1"/>
    <col min="3608" max="3608" width="9.85546875" style="9" customWidth="1"/>
    <col min="3609" max="3609" width="10.140625" style="9" customWidth="1"/>
    <col min="3610" max="3610" width="7.85546875" style="9" customWidth="1"/>
    <col min="3611" max="3611" width="8.5703125" style="9" customWidth="1"/>
    <col min="3612" max="3612" width="7.85546875" style="9" customWidth="1"/>
    <col min="3613" max="3613" width="8.7109375" style="9" customWidth="1"/>
    <col min="3614" max="3846" width="9.140625" style="9"/>
    <col min="3847" max="3847" width="5.42578125" style="9" customWidth="1"/>
    <col min="3848" max="3848" width="45.140625" style="9" customWidth="1"/>
    <col min="3849" max="3850" width="12" style="9" customWidth="1"/>
    <col min="3851" max="3851" width="16.140625" style="9" customWidth="1"/>
    <col min="3852" max="3852" width="7.7109375" style="9" customWidth="1"/>
    <col min="3853" max="3853" width="12" style="9" customWidth="1"/>
    <col min="3854" max="3855" width="9" style="9" customWidth="1"/>
    <col min="3856" max="3856" width="11.28515625" style="9" customWidth="1"/>
    <col min="3857" max="3858" width="12" style="9" customWidth="1"/>
    <col min="3859" max="3859" width="17.140625" style="9" customWidth="1"/>
    <col min="3860" max="3860" width="9" style="9" customWidth="1"/>
    <col min="3861" max="3861" width="12" style="9" customWidth="1"/>
    <col min="3862" max="3863" width="9" style="9" customWidth="1"/>
    <col min="3864" max="3864" width="9.85546875" style="9" customWidth="1"/>
    <col min="3865" max="3865" width="10.140625" style="9" customWidth="1"/>
    <col min="3866" max="3866" width="7.85546875" style="9" customWidth="1"/>
    <col min="3867" max="3867" width="8.5703125" style="9" customWidth="1"/>
    <col min="3868" max="3868" width="7.85546875" style="9" customWidth="1"/>
    <col min="3869" max="3869" width="8.7109375" style="9" customWidth="1"/>
    <col min="3870" max="4102" width="9.140625" style="9"/>
    <col min="4103" max="4103" width="5.42578125" style="9" customWidth="1"/>
    <col min="4104" max="4104" width="45.140625" style="9" customWidth="1"/>
    <col min="4105" max="4106" width="12" style="9" customWidth="1"/>
    <col min="4107" max="4107" width="16.140625" style="9" customWidth="1"/>
    <col min="4108" max="4108" width="7.7109375" style="9" customWidth="1"/>
    <col min="4109" max="4109" width="12" style="9" customWidth="1"/>
    <col min="4110" max="4111" width="9" style="9" customWidth="1"/>
    <col min="4112" max="4112" width="11.28515625" style="9" customWidth="1"/>
    <col min="4113" max="4114" width="12" style="9" customWidth="1"/>
    <col min="4115" max="4115" width="17.140625" style="9" customWidth="1"/>
    <col min="4116" max="4116" width="9" style="9" customWidth="1"/>
    <col min="4117" max="4117" width="12" style="9" customWidth="1"/>
    <col min="4118" max="4119" width="9" style="9" customWidth="1"/>
    <col min="4120" max="4120" width="9.85546875" style="9" customWidth="1"/>
    <col min="4121" max="4121" width="10.140625" style="9" customWidth="1"/>
    <col min="4122" max="4122" width="7.85546875" style="9" customWidth="1"/>
    <col min="4123" max="4123" width="8.5703125" style="9" customWidth="1"/>
    <col min="4124" max="4124" width="7.85546875" style="9" customWidth="1"/>
    <col min="4125" max="4125" width="8.7109375" style="9" customWidth="1"/>
    <col min="4126" max="4358" width="9.140625" style="9"/>
    <col min="4359" max="4359" width="5.42578125" style="9" customWidth="1"/>
    <col min="4360" max="4360" width="45.140625" style="9" customWidth="1"/>
    <col min="4361" max="4362" width="12" style="9" customWidth="1"/>
    <col min="4363" max="4363" width="16.140625" style="9" customWidth="1"/>
    <col min="4364" max="4364" width="7.7109375" style="9" customWidth="1"/>
    <col min="4365" max="4365" width="12" style="9" customWidth="1"/>
    <col min="4366" max="4367" width="9" style="9" customWidth="1"/>
    <col min="4368" max="4368" width="11.28515625" style="9" customWidth="1"/>
    <col min="4369" max="4370" width="12" style="9" customWidth="1"/>
    <col min="4371" max="4371" width="17.140625" style="9" customWidth="1"/>
    <col min="4372" max="4372" width="9" style="9" customWidth="1"/>
    <col min="4373" max="4373" width="12" style="9" customWidth="1"/>
    <col min="4374" max="4375" width="9" style="9" customWidth="1"/>
    <col min="4376" max="4376" width="9.85546875" style="9" customWidth="1"/>
    <col min="4377" max="4377" width="10.140625" style="9" customWidth="1"/>
    <col min="4378" max="4378" width="7.85546875" style="9" customWidth="1"/>
    <col min="4379" max="4379" width="8.5703125" style="9" customWidth="1"/>
    <col min="4380" max="4380" width="7.85546875" style="9" customWidth="1"/>
    <col min="4381" max="4381" width="8.7109375" style="9" customWidth="1"/>
    <col min="4382" max="4614" width="9.140625" style="9"/>
    <col min="4615" max="4615" width="5.42578125" style="9" customWidth="1"/>
    <col min="4616" max="4616" width="45.140625" style="9" customWidth="1"/>
    <col min="4617" max="4618" width="12" style="9" customWidth="1"/>
    <col min="4619" max="4619" width="16.140625" style="9" customWidth="1"/>
    <col min="4620" max="4620" width="7.7109375" style="9" customWidth="1"/>
    <col min="4621" max="4621" width="12" style="9" customWidth="1"/>
    <col min="4622" max="4623" width="9" style="9" customWidth="1"/>
    <col min="4624" max="4624" width="11.28515625" style="9" customWidth="1"/>
    <col min="4625" max="4626" width="12" style="9" customWidth="1"/>
    <col min="4627" max="4627" width="17.140625" style="9" customWidth="1"/>
    <col min="4628" max="4628" width="9" style="9" customWidth="1"/>
    <col min="4629" max="4629" width="12" style="9" customWidth="1"/>
    <col min="4630" max="4631" width="9" style="9" customWidth="1"/>
    <col min="4632" max="4632" width="9.85546875" style="9" customWidth="1"/>
    <col min="4633" max="4633" width="10.140625" style="9" customWidth="1"/>
    <col min="4634" max="4634" width="7.85546875" style="9" customWidth="1"/>
    <col min="4635" max="4635" width="8.5703125" style="9" customWidth="1"/>
    <col min="4636" max="4636" width="7.85546875" style="9" customWidth="1"/>
    <col min="4637" max="4637" width="8.7109375" style="9" customWidth="1"/>
    <col min="4638" max="4870" width="9.140625" style="9"/>
    <col min="4871" max="4871" width="5.42578125" style="9" customWidth="1"/>
    <col min="4872" max="4872" width="45.140625" style="9" customWidth="1"/>
    <col min="4873" max="4874" width="12" style="9" customWidth="1"/>
    <col min="4875" max="4875" width="16.140625" style="9" customWidth="1"/>
    <col min="4876" max="4876" width="7.7109375" style="9" customWidth="1"/>
    <col min="4877" max="4877" width="12" style="9" customWidth="1"/>
    <col min="4878" max="4879" width="9" style="9" customWidth="1"/>
    <col min="4880" max="4880" width="11.28515625" style="9" customWidth="1"/>
    <col min="4881" max="4882" width="12" style="9" customWidth="1"/>
    <col min="4883" max="4883" width="17.140625" style="9" customWidth="1"/>
    <col min="4884" max="4884" width="9" style="9" customWidth="1"/>
    <col min="4885" max="4885" width="12" style="9" customWidth="1"/>
    <col min="4886" max="4887" width="9" style="9" customWidth="1"/>
    <col min="4888" max="4888" width="9.85546875" style="9" customWidth="1"/>
    <col min="4889" max="4889" width="10.140625" style="9" customWidth="1"/>
    <col min="4890" max="4890" width="7.85546875" style="9" customWidth="1"/>
    <col min="4891" max="4891" width="8.5703125" style="9" customWidth="1"/>
    <col min="4892" max="4892" width="7.85546875" style="9" customWidth="1"/>
    <col min="4893" max="4893" width="8.7109375" style="9" customWidth="1"/>
    <col min="4894" max="5126" width="9.140625" style="9"/>
    <col min="5127" max="5127" width="5.42578125" style="9" customWidth="1"/>
    <col min="5128" max="5128" width="45.140625" style="9" customWidth="1"/>
    <col min="5129" max="5130" width="12" style="9" customWidth="1"/>
    <col min="5131" max="5131" width="16.140625" style="9" customWidth="1"/>
    <col min="5132" max="5132" width="7.7109375" style="9" customWidth="1"/>
    <col min="5133" max="5133" width="12" style="9" customWidth="1"/>
    <col min="5134" max="5135" width="9" style="9" customWidth="1"/>
    <col min="5136" max="5136" width="11.28515625" style="9" customWidth="1"/>
    <col min="5137" max="5138" width="12" style="9" customWidth="1"/>
    <col min="5139" max="5139" width="17.140625" style="9" customWidth="1"/>
    <col min="5140" max="5140" width="9" style="9" customWidth="1"/>
    <col min="5141" max="5141" width="12" style="9" customWidth="1"/>
    <col min="5142" max="5143" width="9" style="9" customWidth="1"/>
    <col min="5144" max="5144" width="9.85546875" style="9" customWidth="1"/>
    <col min="5145" max="5145" width="10.140625" style="9" customWidth="1"/>
    <col min="5146" max="5146" width="7.85546875" style="9" customWidth="1"/>
    <col min="5147" max="5147" width="8.5703125" style="9" customWidth="1"/>
    <col min="5148" max="5148" width="7.85546875" style="9" customWidth="1"/>
    <col min="5149" max="5149" width="8.7109375" style="9" customWidth="1"/>
    <col min="5150" max="5382" width="9.140625" style="9"/>
    <col min="5383" max="5383" width="5.42578125" style="9" customWidth="1"/>
    <col min="5384" max="5384" width="45.140625" style="9" customWidth="1"/>
    <col min="5385" max="5386" width="12" style="9" customWidth="1"/>
    <col min="5387" max="5387" width="16.140625" style="9" customWidth="1"/>
    <col min="5388" max="5388" width="7.7109375" style="9" customWidth="1"/>
    <col min="5389" max="5389" width="12" style="9" customWidth="1"/>
    <col min="5390" max="5391" width="9" style="9" customWidth="1"/>
    <col min="5392" max="5392" width="11.28515625" style="9" customWidth="1"/>
    <col min="5393" max="5394" width="12" style="9" customWidth="1"/>
    <col min="5395" max="5395" width="17.140625" style="9" customWidth="1"/>
    <col min="5396" max="5396" width="9" style="9" customWidth="1"/>
    <col min="5397" max="5397" width="12" style="9" customWidth="1"/>
    <col min="5398" max="5399" width="9" style="9" customWidth="1"/>
    <col min="5400" max="5400" width="9.85546875" style="9" customWidth="1"/>
    <col min="5401" max="5401" width="10.140625" style="9" customWidth="1"/>
    <col min="5402" max="5402" width="7.85546875" style="9" customWidth="1"/>
    <col min="5403" max="5403" width="8.5703125" style="9" customWidth="1"/>
    <col min="5404" max="5404" width="7.85546875" style="9" customWidth="1"/>
    <col min="5405" max="5405" width="8.7109375" style="9" customWidth="1"/>
    <col min="5406" max="5638" width="9.140625" style="9"/>
    <col min="5639" max="5639" width="5.42578125" style="9" customWidth="1"/>
    <col min="5640" max="5640" width="45.140625" style="9" customWidth="1"/>
    <col min="5641" max="5642" width="12" style="9" customWidth="1"/>
    <col min="5643" max="5643" width="16.140625" style="9" customWidth="1"/>
    <col min="5644" max="5644" width="7.7109375" style="9" customWidth="1"/>
    <col min="5645" max="5645" width="12" style="9" customWidth="1"/>
    <col min="5646" max="5647" width="9" style="9" customWidth="1"/>
    <col min="5648" max="5648" width="11.28515625" style="9" customWidth="1"/>
    <col min="5649" max="5650" width="12" style="9" customWidth="1"/>
    <col min="5651" max="5651" width="17.140625" style="9" customWidth="1"/>
    <col min="5652" max="5652" width="9" style="9" customWidth="1"/>
    <col min="5653" max="5653" width="12" style="9" customWidth="1"/>
    <col min="5654" max="5655" width="9" style="9" customWidth="1"/>
    <col min="5656" max="5656" width="9.85546875" style="9" customWidth="1"/>
    <col min="5657" max="5657" width="10.140625" style="9" customWidth="1"/>
    <col min="5658" max="5658" width="7.85546875" style="9" customWidth="1"/>
    <col min="5659" max="5659" width="8.5703125" style="9" customWidth="1"/>
    <col min="5660" max="5660" width="7.85546875" style="9" customWidth="1"/>
    <col min="5661" max="5661" width="8.7109375" style="9" customWidth="1"/>
    <col min="5662" max="5894" width="9.140625" style="9"/>
    <col min="5895" max="5895" width="5.42578125" style="9" customWidth="1"/>
    <col min="5896" max="5896" width="45.140625" style="9" customWidth="1"/>
    <col min="5897" max="5898" width="12" style="9" customWidth="1"/>
    <col min="5899" max="5899" width="16.140625" style="9" customWidth="1"/>
    <col min="5900" max="5900" width="7.7109375" style="9" customWidth="1"/>
    <col min="5901" max="5901" width="12" style="9" customWidth="1"/>
    <col min="5902" max="5903" width="9" style="9" customWidth="1"/>
    <col min="5904" max="5904" width="11.28515625" style="9" customWidth="1"/>
    <col min="5905" max="5906" width="12" style="9" customWidth="1"/>
    <col min="5907" max="5907" width="17.140625" style="9" customWidth="1"/>
    <col min="5908" max="5908" width="9" style="9" customWidth="1"/>
    <col min="5909" max="5909" width="12" style="9" customWidth="1"/>
    <col min="5910" max="5911" width="9" style="9" customWidth="1"/>
    <col min="5912" max="5912" width="9.85546875" style="9" customWidth="1"/>
    <col min="5913" max="5913" width="10.140625" style="9" customWidth="1"/>
    <col min="5914" max="5914" width="7.85546875" style="9" customWidth="1"/>
    <col min="5915" max="5915" width="8.5703125" style="9" customWidth="1"/>
    <col min="5916" max="5916" width="7.85546875" style="9" customWidth="1"/>
    <col min="5917" max="5917" width="8.7109375" style="9" customWidth="1"/>
    <col min="5918" max="6150" width="9.140625" style="9"/>
    <col min="6151" max="6151" width="5.42578125" style="9" customWidth="1"/>
    <col min="6152" max="6152" width="45.140625" style="9" customWidth="1"/>
    <col min="6153" max="6154" width="12" style="9" customWidth="1"/>
    <col min="6155" max="6155" width="16.140625" style="9" customWidth="1"/>
    <col min="6156" max="6156" width="7.7109375" style="9" customWidth="1"/>
    <col min="6157" max="6157" width="12" style="9" customWidth="1"/>
    <col min="6158" max="6159" width="9" style="9" customWidth="1"/>
    <col min="6160" max="6160" width="11.28515625" style="9" customWidth="1"/>
    <col min="6161" max="6162" width="12" style="9" customWidth="1"/>
    <col min="6163" max="6163" width="17.140625" style="9" customWidth="1"/>
    <col min="6164" max="6164" width="9" style="9" customWidth="1"/>
    <col min="6165" max="6165" width="12" style="9" customWidth="1"/>
    <col min="6166" max="6167" width="9" style="9" customWidth="1"/>
    <col min="6168" max="6168" width="9.85546875" style="9" customWidth="1"/>
    <col min="6169" max="6169" width="10.140625" style="9" customWidth="1"/>
    <col min="6170" max="6170" width="7.85546875" style="9" customWidth="1"/>
    <col min="6171" max="6171" width="8.5703125" style="9" customWidth="1"/>
    <col min="6172" max="6172" width="7.85546875" style="9" customWidth="1"/>
    <col min="6173" max="6173" width="8.7109375" style="9" customWidth="1"/>
    <col min="6174" max="6406" width="9.140625" style="9"/>
    <col min="6407" max="6407" width="5.42578125" style="9" customWidth="1"/>
    <col min="6408" max="6408" width="45.140625" style="9" customWidth="1"/>
    <col min="6409" max="6410" width="12" style="9" customWidth="1"/>
    <col min="6411" max="6411" width="16.140625" style="9" customWidth="1"/>
    <col min="6412" max="6412" width="7.7109375" style="9" customWidth="1"/>
    <col min="6413" max="6413" width="12" style="9" customWidth="1"/>
    <col min="6414" max="6415" width="9" style="9" customWidth="1"/>
    <col min="6416" max="6416" width="11.28515625" style="9" customWidth="1"/>
    <col min="6417" max="6418" width="12" style="9" customWidth="1"/>
    <col min="6419" max="6419" width="17.140625" style="9" customWidth="1"/>
    <col min="6420" max="6420" width="9" style="9" customWidth="1"/>
    <col min="6421" max="6421" width="12" style="9" customWidth="1"/>
    <col min="6422" max="6423" width="9" style="9" customWidth="1"/>
    <col min="6424" max="6424" width="9.85546875" style="9" customWidth="1"/>
    <col min="6425" max="6425" width="10.140625" style="9" customWidth="1"/>
    <col min="6426" max="6426" width="7.85546875" style="9" customWidth="1"/>
    <col min="6427" max="6427" width="8.5703125" style="9" customWidth="1"/>
    <col min="6428" max="6428" width="7.85546875" style="9" customWidth="1"/>
    <col min="6429" max="6429" width="8.7109375" style="9" customWidth="1"/>
    <col min="6430" max="6662" width="9.140625" style="9"/>
    <col min="6663" max="6663" width="5.42578125" style="9" customWidth="1"/>
    <col min="6664" max="6664" width="45.140625" style="9" customWidth="1"/>
    <col min="6665" max="6666" width="12" style="9" customWidth="1"/>
    <col min="6667" max="6667" width="16.140625" style="9" customWidth="1"/>
    <col min="6668" max="6668" width="7.7109375" style="9" customWidth="1"/>
    <col min="6669" max="6669" width="12" style="9" customWidth="1"/>
    <col min="6670" max="6671" width="9" style="9" customWidth="1"/>
    <col min="6672" max="6672" width="11.28515625" style="9" customWidth="1"/>
    <col min="6673" max="6674" width="12" style="9" customWidth="1"/>
    <col min="6675" max="6675" width="17.140625" style="9" customWidth="1"/>
    <col min="6676" max="6676" width="9" style="9" customWidth="1"/>
    <col min="6677" max="6677" width="12" style="9" customWidth="1"/>
    <col min="6678" max="6679" width="9" style="9" customWidth="1"/>
    <col min="6680" max="6680" width="9.85546875" style="9" customWidth="1"/>
    <col min="6681" max="6681" width="10.140625" style="9" customWidth="1"/>
    <col min="6682" max="6682" width="7.85546875" style="9" customWidth="1"/>
    <col min="6683" max="6683" width="8.5703125" style="9" customWidth="1"/>
    <col min="6684" max="6684" width="7.85546875" style="9" customWidth="1"/>
    <col min="6685" max="6685" width="8.7109375" style="9" customWidth="1"/>
    <col min="6686" max="6918" width="9.140625" style="9"/>
    <col min="6919" max="6919" width="5.42578125" style="9" customWidth="1"/>
    <col min="6920" max="6920" width="45.140625" style="9" customWidth="1"/>
    <col min="6921" max="6922" width="12" style="9" customWidth="1"/>
    <col min="6923" max="6923" width="16.140625" style="9" customWidth="1"/>
    <col min="6924" max="6924" width="7.7109375" style="9" customWidth="1"/>
    <col min="6925" max="6925" width="12" style="9" customWidth="1"/>
    <col min="6926" max="6927" width="9" style="9" customWidth="1"/>
    <col min="6928" max="6928" width="11.28515625" style="9" customWidth="1"/>
    <col min="6929" max="6930" width="12" style="9" customWidth="1"/>
    <col min="6931" max="6931" width="17.140625" style="9" customWidth="1"/>
    <col min="6932" max="6932" width="9" style="9" customWidth="1"/>
    <col min="6933" max="6933" width="12" style="9" customWidth="1"/>
    <col min="6934" max="6935" width="9" style="9" customWidth="1"/>
    <col min="6936" max="6936" width="9.85546875" style="9" customWidth="1"/>
    <col min="6937" max="6937" width="10.140625" style="9" customWidth="1"/>
    <col min="6938" max="6938" width="7.85546875" style="9" customWidth="1"/>
    <col min="6939" max="6939" width="8.5703125" style="9" customWidth="1"/>
    <col min="6940" max="6940" width="7.85546875" style="9" customWidth="1"/>
    <col min="6941" max="6941" width="8.7109375" style="9" customWidth="1"/>
    <col min="6942" max="7174" width="9.140625" style="9"/>
    <col min="7175" max="7175" width="5.42578125" style="9" customWidth="1"/>
    <col min="7176" max="7176" width="45.140625" style="9" customWidth="1"/>
    <col min="7177" max="7178" width="12" style="9" customWidth="1"/>
    <col min="7179" max="7179" width="16.140625" style="9" customWidth="1"/>
    <col min="7180" max="7180" width="7.7109375" style="9" customWidth="1"/>
    <col min="7181" max="7181" width="12" style="9" customWidth="1"/>
    <col min="7182" max="7183" width="9" style="9" customWidth="1"/>
    <col min="7184" max="7184" width="11.28515625" style="9" customWidth="1"/>
    <col min="7185" max="7186" width="12" style="9" customWidth="1"/>
    <col min="7187" max="7187" width="17.140625" style="9" customWidth="1"/>
    <col min="7188" max="7188" width="9" style="9" customWidth="1"/>
    <col min="7189" max="7189" width="12" style="9" customWidth="1"/>
    <col min="7190" max="7191" width="9" style="9" customWidth="1"/>
    <col min="7192" max="7192" width="9.85546875" style="9" customWidth="1"/>
    <col min="7193" max="7193" width="10.140625" style="9" customWidth="1"/>
    <col min="7194" max="7194" width="7.85546875" style="9" customWidth="1"/>
    <col min="7195" max="7195" width="8.5703125" style="9" customWidth="1"/>
    <col min="7196" max="7196" width="7.85546875" style="9" customWidth="1"/>
    <col min="7197" max="7197" width="8.7109375" style="9" customWidth="1"/>
    <col min="7198" max="7430" width="9.140625" style="9"/>
    <col min="7431" max="7431" width="5.42578125" style="9" customWidth="1"/>
    <col min="7432" max="7432" width="45.140625" style="9" customWidth="1"/>
    <col min="7433" max="7434" width="12" style="9" customWidth="1"/>
    <col min="7435" max="7435" width="16.140625" style="9" customWidth="1"/>
    <col min="7436" max="7436" width="7.7109375" style="9" customWidth="1"/>
    <col min="7437" max="7437" width="12" style="9" customWidth="1"/>
    <col min="7438" max="7439" width="9" style="9" customWidth="1"/>
    <col min="7440" max="7440" width="11.28515625" style="9" customWidth="1"/>
    <col min="7441" max="7442" width="12" style="9" customWidth="1"/>
    <col min="7443" max="7443" width="17.140625" style="9" customWidth="1"/>
    <col min="7444" max="7444" width="9" style="9" customWidth="1"/>
    <col min="7445" max="7445" width="12" style="9" customWidth="1"/>
    <col min="7446" max="7447" width="9" style="9" customWidth="1"/>
    <col min="7448" max="7448" width="9.85546875" style="9" customWidth="1"/>
    <col min="7449" max="7449" width="10.140625" style="9" customWidth="1"/>
    <col min="7450" max="7450" width="7.85546875" style="9" customWidth="1"/>
    <col min="7451" max="7451" width="8.5703125" style="9" customWidth="1"/>
    <col min="7452" max="7452" width="7.85546875" style="9" customWidth="1"/>
    <col min="7453" max="7453" width="8.7109375" style="9" customWidth="1"/>
    <col min="7454" max="7686" width="9.140625" style="9"/>
    <col min="7687" max="7687" width="5.42578125" style="9" customWidth="1"/>
    <col min="7688" max="7688" width="45.140625" style="9" customWidth="1"/>
    <col min="7689" max="7690" width="12" style="9" customWidth="1"/>
    <col min="7691" max="7691" width="16.140625" style="9" customWidth="1"/>
    <col min="7692" max="7692" width="7.7109375" style="9" customWidth="1"/>
    <col min="7693" max="7693" width="12" style="9" customWidth="1"/>
    <col min="7694" max="7695" width="9" style="9" customWidth="1"/>
    <col min="7696" max="7696" width="11.28515625" style="9" customWidth="1"/>
    <col min="7697" max="7698" width="12" style="9" customWidth="1"/>
    <col min="7699" max="7699" width="17.140625" style="9" customWidth="1"/>
    <col min="7700" max="7700" width="9" style="9" customWidth="1"/>
    <col min="7701" max="7701" width="12" style="9" customWidth="1"/>
    <col min="7702" max="7703" width="9" style="9" customWidth="1"/>
    <col min="7704" max="7704" width="9.85546875" style="9" customWidth="1"/>
    <col min="7705" max="7705" width="10.140625" style="9" customWidth="1"/>
    <col min="7706" max="7706" width="7.85546875" style="9" customWidth="1"/>
    <col min="7707" max="7707" width="8.5703125" style="9" customWidth="1"/>
    <col min="7708" max="7708" width="7.85546875" style="9" customWidth="1"/>
    <col min="7709" max="7709" width="8.7109375" style="9" customWidth="1"/>
    <col min="7710" max="7942" width="9.140625" style="9"/>
    <col min="7943" max="7943" width="5.42578125" style="9" customWidth="1"/>
    <col min="7944" max="7944" width="45.140625" style="9" customWidth="1"/>
    <col min="7945" max="7946" width="12" style="9" customWidth="1"/>
    <col min="7947" max="7947" width="16.140625" style="9" customWidth="1"/>
    <col min="7948" max="7948" width="7.7109375" style="9" customWidth="1"/>
    <col min="7949" max="7949" width="12" style="9" customWidth="1"/>
    <col min="7950" max="7951" width="9" style="9" customWidth="1"/>
    <col min="7952" max="7952" width="11.28515625" style="9" customWidth="1"/>
    <col min="7953" max="7954" width="12" style="9" customWidth="1"/>
    <col min="7955" max="7955" width="17.140625" style="9" customWidth="1"/>
    <col min="7956" max="7956" width="9" style="9" customWidth="1"/>
    <col min="7957" max="7957" width="12" style="9" customWidth="1"/>
    <col min="7958" max="7959" width="9" style="9" customWidth="1"/>
    <col min="7960" max="7960" width="9.85546875" style="9" customWidth="1"/>
    <col min="7961" max="7961" width="10.140625" style="9" customWidth="1"/>
    <col min="7962" max="7962" width="7.85546875" style="9" customWidth="1"/>
    <col min="7963" max="7963" width="8.5703125" style="9" customWidth="1"/>
    <col min="7964" max="7964" width="7.85546875" style="9" customWidth="1"/>
    <col min="7965" max="7965" width="8.7109375" style="9" customWidth="1"/>
    <col min="7966" max="8198" width="9.140625" style="9"/>
    <col min="8199" max="8199" width="5.42578125" style="9" customWidth="1"/>
    <col min="8200" max="8200" width="45.140625" style="9" customWidth="1"/>
    <col min="8201" max="8202" width="12" style="9" customWidth="1"/>
    <col min="8203" max="8203" width="16.140625" style="9" customWidth="1"/>
    <col min="8204" max="8204" width="7.7109375" style="9" customWidth="1"/>
    <col min="8205" max="8205" width="12" style="9" customWidth="1"/>
    <col min="8206" max="8207" width="9" style="9" customWidth="1"/>
    <col min="8208" max="8208" width="11.28515625" style="9" customWidth="1"/>
    <col min="8209" max="8210" width="12" style="9" customWidth="1"/>
    <col min="8211" max="8211" width="17.140625" style="9" customWidth="1"/>
    <col min="8212" max="8212" width="9" style="9" customWidth="1"/>
    <col min="8213" max="8213" width="12" style="9" customWidth="1"/>
    <col min="8214" max="8215" width="9" style="9" customWidth="1"/>
    <col min="8216" max="8216" width="9.85546875" style="9" customWidth="1"/>
    <col min="8217" max="8217" width="10.140625" style="9" customWidth="1"/>
    <col min="8218" max="8218" width="7.85546875" style="9" customWidth="1"/>
    <col min="8219" max="8219" width="8.5703125" style="9" customWidth="1"/>
    <col min="8220" max="8220" width="7.85546875" style="9" customWidth="1"/>
    <col min="8221" max="8221" width="8.7109375" style="9" customWidth="1"/>
    <col min="8222" max="8454" width="9.140625" style="9"/>
    <col min="8455" max="8455" width="5.42578125" style="9" customWidth="1"/>
    <col min="8456" max="8456" width="45.140625" style="9" customWidth="1"/>
    <col min="8457" max="8458" width="12" style="9" customWidth="1"/>
    <col min="8459" max="8459" width="16.140625" style="9" customWidth="1"/>
    <col min="8460" max="8460" width="7.7109375" style="9" customWidth="1"/>
    <col min="8461" max="8461" width="12" style="9" customWidth="1"/>
    <col min="8462" max="8463" width="9" style="9" customWidth="1"/>
    <col min="8464" max="8464" width="11.28515625" style="9" customWidth="1"/>
    <col min="8465" max="8466" width="12" style="9" customWidth="1"/>
    <col min="8467" max="8467" width="17.140625" style="9" customWidth="1"/>
    <col min="8468" max="8468" width="9" style="9" customWidth="1"/>
    <col min="8469" max="8469" width="12" style="9" customWidth="1"/>
    <col min="8470" max="8471" width="9" style="9" customWidth="1"/>
    <col min="8472" max="8472" width="9.85546875" style="9" customWidth="1"/>
    <col min="8473" max="8473" width="10.140625" style="9" customWidth="1"/>
    <col min="8474" max="8474" width="7.85546875" style="9" customWidth="1"/>
    <col min="8475" max="8475" width="8.5703125" style="9" customWidth="1"/>
    <col min="8476" max="8476" width="7.85546875" style="9" customWidth="1"/>
    <col min="8477" max="8477" width="8.7109375" style="9" customWidth="1"/>
    <col min="8478" max="8710" width="9.140625" style="9"/>
    <col min="8711" max="8711" width="5.42578125" style="9" customWidth="1"/>
    <col min="8712" max="8712" width="45.140625" style="9" customWidth="1"/>
    <col min="8713" max="8714" width="12" style="9" customWidth="1"/>
    <col min="8715" max="8715" width="16.140625" style="9" customWidth="1"/>
    <col min="8716" max="8716" width="7.7109375" style="9" customWidth="1"/>
    <col min="8717" max="8717" width="12" style="9" customWidth="1"/>
    <col min="8718" max="8719" width="9" style="9" customWidth="1"/>
    <col min="8720" max="8720" width="11.28515625" style="9" customWidth="1"/>
    <col min="8721" max="8722" width="12" style="9" customWidth="1"/>
    <col min="8723" max="8723" width="17.140625" style="9" customWidth="1"/>
    <col min="8724" max="8724" width="9" style="9" customWidth="1"/>
    <col min="8725" max="8725" width="12" style="9" customWidth="1"/>
    <col min="8726" max="8727" width="9" style="9" customWidth="1"/>
    <col min="8728" max="8728" width="9.85546875" style="9" customWidth="1"/>
    <col min="8729" max="8729" width="10.140625" style="9" customWidth="1"/>
    <col min="8730" max="8730" width="7.85546875" style="9" customWidth="1"/>
    <col min="8731" max="8731" width="8.5703125" style="9" customWidth="1"/>
    <col min="8732" max="8732" width="7.85546875" style="9" customWidth="1"/>
    <col min="8733" max="8733" width="8.7109375" style="9" customWidth="1"/>
    <col min="8734" max="8966" width="9.140625" style="9"/>
    <col min="8967" max="8967" width="5.42578125" style="9" customWidth="1"/>
    <col min="8968" max="8968" width="45.140625" style="9" customWidth="1"/>
    <col min="8969" max="8970" width="12" style="9" customWidth="1"/>
    <col min="8971" max="8971" width="16.140625" style="9" customWidth="1"/>
    <col min="8972" max="8972" width="7.7109375" style="9" customWidth="1"/>
    <col min="8973" max="8973" width="12" style="9" customWidth="1"/>
    <col min="8974" max="8975" width="9" style="9" customWidth="1"/>
    <col min="8976" max="8976" width="11.28515625" style="9" customWidth="1"/>
    <col min="8977" max="8978" width="12" style="9" customWidth="1"/>
    <col min="8979" max="8979" width="17.140625" style="9" customWidth="1"/>
    <col min="8980" max="8980" width="9" style="9" customWidth="1"/>
    <col min="8981" max="8981" width="12" style="9" customWidth="1"/>
    <col min="8982" max="8983" width="9" style="9" customWidth="1"/>
    <col min="8984" max="8984" width="9.85546875" style="9" customWidth="1"/>
    <col min="8985" max="8985" width="10.140625" style="9" customWidth="1"/>
    <col min="8986" max="8986" width="7.85546875" style="9" customWidth="1"/>
    <col min="8987" max="8987" width="8.5703125" style="9" customWidth="1"/>
    <col min="8988" max="8988" width="7.85546875" style="9" customWidth="1"/>
    <col min="8989" max="8989" width="8.7109375" style="9" customWidth="1"/>
    <col min="8990" max="9222" width="9.140625" style="9"/>
    <col min="9223" max="9223" width="5.42578125" style="9" customWidth="1"/>
    <col min="9224" max="9224" width="45.140625" style="9" customWidth="1"/>
    <col min="9225" max="9226" width="12" style="9" customWidth="1"/>
    <col min="9227" max="9227" width="16.140625" style="9" customWidth="1"/>
    <col min="9228" max="9228" width="7.7109375" style="9" customWidth="1"/>
    <col min="9229" max="9229" width="12" style="9" customWidth="1"/>
    <col min="9230" max="9231" width="9" style="9" customWidth="1"/>
    <col min="9232" max="9232" width="11.28515625" style="9" customWidth="1"/>
    <col min="9233" max="9234" width="12" style="9" customWidth="1"/>
    <col min="9235" max="9235" width="17.140625" style="9" customWidth="1"/>
    <col min="9236" max="9236" width="9" style="9" customWidth="1"/>
    <col min="9237" max="9237" width="12" style="9" customWidth="1"/>
    <col min="9238" max="9239" width="9" style="9" customWidth="1"/>
    <col min="9240" max="9240" width="9.85546875" style="9" customWidth="1"/>
    <col min="9241" max="9241" width="10.140625" style="9" customWidth="1"/>
    <col min="9242" max="9242" width="7.85546875" style="9" customWidth="1"/>
    <col min="9243" max="9243" width="8.5703125" style="9" customWidth="1"/>
    <col min="9244" max="9244" width="7.85546875" style="9" customWidth="1"/>
    <col min="9245" max="9245" width="8.7109375" style="9" customWidth="1"/>
    <col min="9246" max="9478" width="9.140625" style="9"/>
    <col min="9479" max="9479" width="5.42578125" style="9" customWidth="1"/>
    <col min="9480" max="9480" width="45.140625" style="9" customWidth="1"/>
    <col min="9481" max="9482" width="12" style="9" customWidth="1"/>
    <col min="9483" max="9483" width="16.140625" style="9" customWidth="1"/>
    <col min="9484" max="9484" width="7.7109375" style="9" customWidth="1"/>
    <col min="9485" max="9485" width="12" style="9" customWidth="1"/>
    <col min="9486" max="9487" width="9" style="9" customWidth="1"/>
    <col min="9488" max="9488" width="11.28515625" style="9" customWidth="1"/>
    <col min="9489" max="9490" width="12" style="9" customWidth="1"/>
    <col min="9491" max="9491" width="17.140625" style="9" customWidth="1"/>
    <col min="9492" max="9492" width="9" style="9" customWidth="1"/>
    <col min="9493" max="9493" width="12" style="9" customWidth="1"/>
    <col min="9494" max="9495" width="9" style="9" customWidth="1"/>
    <col min="9496" max="9496" width="9.85546875" style="9" customWidth="1"/>
    <col min="9497" max="9497" width="10.140625" style="9" customWidth="1"/>
    <col min="9498" max="9498" width="7.85546875" style="9" customWidth="1"/>
    <col min="9499" max="9499" width="8.5703125" style="9" customWidth="1"/>
    <col min="9500" max="9500" width="7.85546875" style="9" customWidth="1"/>
    <col min="9501" max="9501" width="8.7109375" style="9" customWidth="1"/>
    <col min="9502" max="9734" width="9.140625" style="9"/>
    <col min="9735" max="9735" width="5.42578125" style="9" customWidth="1"/>
    <col min="9736" max="9736" width="45.140625" style="9" customWidth="1"/>
    <col min="9737" max="9738" width="12" style="9" customWidth="1"/>
    <col min="9739" max="9739" width="16.140625" style="9" customWidth="1"/>
    <col min="9740" max="9740" width="7.7109375" style="9" customWidth="1"/>
    <col min="9741" max="9741" width="12" style="9" customWidth="1"/>
    <col min="9742" max="9743" width="9" style="9" customWidth="1"/>
    <col min="9744" max="9744" width="11.28515625" style="9" customWidth="1"/>
    <col min="9745" max="9746" width="12" style="9" customWidth="1"/>
    <col min="9747" max="9747" width="17.140625" style="9" customWidth="1"/>
    <col min="9748" max="9748" width="9" style="9" customWidth="1"/>
    <col min="9749" max="9749" width="12" style="9" customWidth="1"/>
    <col min="9750" max="9751" width="9" style="9" customWidth="1"/>
    <col min="9752" max="9752" width="9.85546875" style="9" customWidth="1"/>
    <col min="9753" max="9753" width="10.140625" style="9" customWidth="1"/>
    <col min="9754" max="9754" width="7.85546875" style="9" customWidth="1"/>
    <col min="9755" max="9755" width="8.5703125" style="9" customWidth="1"/>
    <col min="9756" max="9756" width="7.85546875" style="9" customWidth="1"/>
    <col min="9757" max="9757" width="8.7109375" style="9" customWidth="1"/>
    <col min="9758" max="9990" width="9.140625" style="9"/>
    <col min="9991" max="9991" width="5.42578125" style="9" customWidth="1"/>
    <col min="9992" max="9992" width="45.140625" style="9" customWidth="1"/>
    <col min="9993" max="9994" width="12" style="9" customWidth="1"/>
    <col min="9995" max="9995" width="16.140625" style="9" customWidth="1"/>
    <col min="9996" max="9996" width="7.7109375" style="9" customWidth="1"/>
    <col min="9997" max="9997" width="12" style="9" customWidth="1"/>
    <col min="9998" max="9999" width="9" style="9" customWidth="1"/>
    <col min="10000" max="10000" width="11.28515625" style="9" customWidth="1"/>
    <col min="10001" max="10002" width="12" style="9" customWidth="1"/>
    <col min="10003" max="10003" width="17.140625" style="9" customWidth="1"/>
    <col min="10004" max="10004" width="9" style="9" customWidth="1"/>
    <col min="10005" max="10005" width="12" style="9" customWidth="1"/>
    <col min="10006" max="10007" width="9" style="9" customWidth="1"/>
    <col min="10008" max="10008" width="9.85546875" style="9" customWidth="1"/>
    <col min="10009" max="10009" width="10.140625" style="9" customWidth="1"/>
    <col min="10010" max="10010" width="7.85546875" style="9" customWidth="1"/>
    <col min="10011" max="10011" width="8.5703125" style="9" customWidth="1"/>
    <col min="10012" max="10012" width="7.85546875" style="9" customWidth="1"/>
    <col min="10013" max="10013" width="8.7109375" style="9" customWidth="1"/>
    <col min="10014" max="10246" width="9.140625" style="9"/>
    <col min="10247" max="10247" width="5.42578125" style="9" customWidth="1"/>
    <col min="10248" max="10248" width="45.140625" style="9" customWidth="1"/>
    <col min="10249" max="10250" width="12" style="9" customWidth="1"/>
    <col min="10251" max="10251" width="16.140625" style="9" customWidth="1"/>
    <col min="10252" max="10252" width="7.7109375" style="9" customWidth="1"/>
    <col min="10253" max="10253" width="12" style="9" customWidth="1"/>
    <col min="10254" max="10255" width="9" style="9" customWidth="1"/>
    <col min="10256" max="10256" width="11.28515625" style="9" customWidth="1"/>
    <col min="10257" max="10258" width="12" style="9" customWidth="1"/>
    <col min="10259" max="10259" width="17.140625" style="9" customWidth="1"/>
    <col min="10260" max="10260" width="9" style="9" customWidth="1"/>
    <col min="10261" max="10261" width="12" style="9" customWidth="1"/>
    <col min="10262" max="10263" width="9" style="9" customWidth="1"/>
    <col min="10264" max="10264" width="9.85546875" style="9" customWidth="1"/>
    <col min="10265" max="10265" width="10.140625" style="9" customWidth="1"/>
    <col min="10266" max="10266" width="7.85546875" style="9" customWidth="1"/>
    <col min="10267" max="10267" width="8.5703125" style="9" customWidth="1"/>
    <col min="10268" max="10268" width="7.85546875" style="9" customWidth="1"/>
    <col min="10269" max="10269" width="8.7109375" style="9" customWidth="1"/>
    <col min="10270" max="10502" width="9.140625" style="9"/>
    <col min="10503" max="10503" width="5.42578125" style="9" customWidth="1"/>
    <col min="10504" max="10504" width="45.140625" style="9" customWidth="1"/>
    <col min="10505" max="10506" width="12" style="9" customWidth="1"/>
    <col min="10507" max="10507" width="16.140625" style="9" customWidth="1"/>
    <col min="10508" max="10508" width="7.7109375" style="9" customWidth="1"/>
    <col min="10509" max="10509" width="12" style="9" customWidth="1"/>
    <col min="10510" max="10511" width="9" style="9" customWidth="1"/>
    <col min="10512" max="10512" width="11.28515625" style="9" customWidth="1"/>
    <col min="10513" max="10514" width="12" style="9" customWidth="1"/>
    <col min="10515" max="10515" width="17.140625" style="9" customWidth="1"/>
    <col min="10516" max="10516" width="9" style="9" customWidth="1"/>
    <col min="10517" max="10517" width="12" style="9" customWidth="1"/>
    <col min="10518" max="10519" width="9" style="9" customWidth="1"/>
    <col min="10520" max="10520" width="9.85546875" style="9" customWidth="1"/>
    <col min="10521" max="10521" width="10.140625" style="9" customWidth="1"/>
    <col min="10522" max="10522" width="7.85546875" style="9" customWidth="1"/>
    <col min="10523" max="10523" width="8.5703125" style="9" customWidth="1"/>
    <col min="10524" max="10524" width="7.85546875" style="9" customWidth="1"/>
    <col min="10525" max="10525" width="8.7109375" style="9" customWidth="1"/>
    <col min="10526" max="10758" width="9.140625" style="9"/>
    <col min="10759" max="10759" width="5.42578125" style="9" customWidth="1"/>
    <col min="10760" max="10760" width="45.140625" style="9" customWidth="1"/>
    <col min="10761" max="10762" width="12" style="9" customWidth="1"/>
    <col min="10763" max="10763" width="16.140625" style="9" customWidth="1"/>
    <col min="10764" max="10764" width="7.7109375" style="9" customWidth="1"/>
    <col min="10765" max="10765" width="12" style="9" customWidth="1"/>
    <col min="10766" max="10767" width="9" style="9" customWidth="1"/>
    <col min="10768" max="10768" width="11.28515625" style="9" customWidth="1"/>
    <col min="10769" max="10770" width="12" style="9" customWidth="1"/>
    <col min="10771" max="10771" width="17.140625" style="9" customWidth="1"/>
    <col min="10772" max="10772" width="9" style="9" customWidth="1"/>
    <col min="10773" max="10773" width="12" style="9" customWidth="1"/>
    <col min="10774" max="10775" width="9" style="9" customWidth="1"/>
    <col min="10776" max="10776" width="9.85546875" style="9" customWidth="1"/>
    <col min="10777" max="10777" width="10.140625" style="9" customWidth="1"/>
    <col min="10778" max="10778" width="7.85546875" style="9" customWidth="1"/>
    <col min="10779" max="10779" width="8.5703125" style="9" customWidth="1"/>
    <col min="10780" max="10780" width="7.85546875" style="9" customWidth="1"/>
    <col min="10781" max="10781" width="8.7109375" style="9" customWidth="1"/>
    <col min="10782" max="11014" width="9.140625" style="9"/>
    <col min="11015" max="11015" width="5.42578125" style="9" customWidth="1"/>
    <col min="11016" max="11016" width="45.140625" style="9" customWidth="1"/>
    <col min="11017" max="11018" width="12" style="9" customWidth="1"/>
    <col min="11019" max="11019" width="16.140625" style="9" customWidth="1"/>
    <col min="11020" max="11020" width="7.7109375" style="9" customWidth="1"/>
    <col min="11021" max="11021" width="12" style="9" customWidth="1"/>
    <col min="11022" max="11023" width="9" style="9" customWidth="1"/>
    <col min="11024" max="11024" width="11.28515625" style="9" customWidth="1"/>
    <col min="11025" max="11026" width="12" style="9" customWidth="1"/>
    <col min="11027" max="11027" width="17.140625" style="9" customWidth="1"/>
    <col min="11028" max="11028" width="9" style="9" customWidth="1"/>
    <col min="11029" max="11029" width="12" style="9" customWidth="1"/>
    <col min="11030" max="11031" width="9" style="9" customWidth="1"/>
    <col min="11032" max="11032" width="9.85546875" style="9" customWidth="1"/>
    <col min="11033" max="11033" width="10.140625" style="9" customWidth="1"/>
    <col min="11034" max="11034" width="7.85546875" style="9" customWidth="1"/>
    <col min="11035" max="11035" width="8.5703125" style="9" customWidth="1"/>
    <col min="11036" max="11036" width="7.85546875" style="9" customWidth="1"/>
    <col min="11037" max="11037" width="8.7109375" style="9" customWidth="1"/>
    <col min="11038" max="11270" width="9.140625" style="9"/>
    <col min="11271" max="11271" width="5.42578125" style="9" customWidth="1"/>
    <col min="11272" max="11272" width="45.140625" style="9" customWidth="1"/>
    <col min="11273" max="11274" width="12" style="9" customWidth="1"/>
    <col min="11275" max="11275" width="16.140625" style="9" customWidth="1"/>
    <col min="11276" max="11276" width="7.7109375" style="9" customWidth="1"/>
    <col min="11277" max="11277" width="12" style="9" customWidth="1"/>
    <col min="11278" max="11279" width="9" style="9" customWidth="1"/>
    <col min="11280" max="11280" width="11.28515625" style="9" customWidth="1"/>
    <col min="11281" max="11282" width="12" style="9" customWidth="1"/>
    <col min="11283" max="11283" width="17.140625" style="9" customWidth="1"/>
    <col min="11284" max="11284" width="9" style="9" customWidth="1"/>
    <col min="11285" max="11285" width="12" style="9" customWidth="1"/>
    <col min="11286" max="11287" width="9" style="9" customWidth="1"/>
    <col min="11288" max="11288" width="9.85546875" style="9" customWidth="1"/>
    <col min="11289" max="11289" width="10.140625" style="9" customWidth="1"/>
    <col min="11290" max="11290" width="7.85546875" style="9" customWidth="1"/>
    <col min="11291" max="11291" width="8.5703125" style="9" customWidth="1"/>
    <col min="11292" max="11292" width="7.85546875" style="9" customWidth="1"/>
    <col min="11293" max="11293" width="8.7109375" style="9" customWidth="1"/>
    <col min="11294" max="11526" width="9.140625" style="9"/>
    <col min="11527" max="11527" width="5.42578125" style="9" customWidth="1"/>
    <col min="11528" max="11528" width="45.140625" style="9" customWidth="1"/>
    <col min="11529" max="11530" width="12" style="9" customWidth="1"/>
    <col min="11531" max="11531" width="16.140625" style="9" customWidth="1"/>
    <col min="11532" max="11532" width="7.7109375" style="9" customWidth="1"/>
    <col min="11533" max="11533" width="12" style="9" customWidth="1"/>
    <col min="11534" max="11535" width="9" style="9" customWidth="1"/>
    <col min="11536" max="11536" width="11.28515625" style="9" customWidth="1"/>
    <col min="11537" max="11538" width="12" style="9" customWidth="1"/>
    <col min="11539" max="11539" width="17.140625" style="9" customWidth="1"/>
    <col min="11540" max="11540" width="9" style="9" customWidth="1"/>
    <col min="11541" max="11541" width="12" style="9" customWidth="1"/>
    <col min="11542" max="11543" width="9" style="9" customWidth="1"/>
    <col min="11544" max="11544" width="9.85546875" style="9" customWidth="1"/>
    <col min="11545" max="11545" width="10.140625" style="9" customWidth="1"/>
    <col min="11546" max="11546" width="7.85546875" style="9" customWidth="1"/>
    <col min="11547" max="11547" width="8.5703125" style="9" customWidth="1"/>
    <col min="11548" max="11548" width="7.85546875" style="9" customWidth="1"/>
    <col min="11549" max="11549" width="8.7109375" style="9" customWidth="1"/>
    <col min="11550" max="11782" width="9.140625" style="9"/>
    <col min="11783" max="11783" width="5.42578125" style="9" customWidth="1"/>
    <col min="11784" max="11784" width="45.140625" style="9" customWidth="1"/>
    <col min="11785" max="11786" width="12" style="9" customWidth="1"/>
    <col min="11787" max="11787" width="16.140625" style="9" customWidth="1"/>
    <col min="11788" max="11788" width="7.7109375" style="9" customWidth="1"/>
    <col min="11789" max="11789" width="12" style="9" customWidth="1"/>
    <col min="11790" max="11791" width="9" style="9" customWidth="1"/>
    <col min="11792" max="11792" width="11.28515625" style="9" customWidth="1"/>
    <col min="11793" max="11794" width="12" style="9" customWidth="1"/>
    <col min="11795" max="11795" width="17.140625" style="9" customWidth="1"/>
    <col min="11796" max="11796" width="9" style="9" customWidth="1"/>
    <col min="11797" max="11797" width="12" style="9" customWidth="1"/>
    <col min="11798" max="11799" width="9" style="9" customWidth="1"/>
    <col min="11800" max="11800" width="9.85546875" style="9" customWidth="1"/>
    <col min="11801" max="11801" width="10.140625" style="9" customWidth="1"/>
    <col min="11802" max="11802" width="7.85546875" style="9" customWidth="1"/>
    <col min="11803" max="11803" width="8.5703125" style="9" customWidth="1"/>
    <col min="11804" max="11804" width="7.85546875" style="9" customWidth="1"/>
    <col min="11805" max="11805" width="8.7109375" style="9" customWidth="1"/>
    <col min="11806" max="12038" width="9.140625" style="9"/>
    <col min="12039" max="12039" width="5.42578125" style="9" customWidth="1"/>
    <col min="12040" max="12040" width="45.140625" style="9" customWidth="1"/>
    <col min="12041" max="12042" width="12" style="9" customWidth="1"/>
    <col min="12043" max="12043" width="16.140625" style="9" customWidth="1"/>
    <col min="12044" max="12044" width="7.7109375" style="9" customWidth="1"/>
    <col min="12045" max="12045" width="12" style="9" customWidth="1"/>
    <col min="12046" max="12047" width="9" style="9" customWidth="1"/>
    <col min="12048" max="12048" width="11.28515625" style="9" customWidth="1"/>
    <col min="12049" max="12050" width="12" style="9" customWidth="1"/>
    <col min="12051" max="12051" width="17.140625" style="9" customWidth="1"/>
    <col min="12052" max="12052" width="9" style="9" customWidth="1"/>
    <col min="12053" max="12053" width="12" style="9" customWidth="1"/>
    <col min="12054" max="12055" width="9" style="9" customWidth="1"/>
    <col min="12056" max="12056" width="9.85546875" style="9" customWidth="1"/>
    <col min="12057" max="12057" width="10.140625" style="9" customWidth="1"/>
    <col min="12058" max="12058" width="7.85546875" style="9" customWidth="1"/>
    <col min="12059" max="12059" width="8.5703125" style="9" customWidth="1"/>
    <col min="12060" max="12060" width="7.85546875" style="9" customWidth="1"/>
    <col min="12061" max="12061" width="8.7109375" style="9" customWidth="1"/>
    <col min="12062" max="12294" width="9.140625" style="9"/>
    <col min="12295" max="12295" width="5.42578125" style="9" customWidth="1"/>
    <col min="12296" max="12296" width="45.140625" style="9" customWidth="1"/>
    <col min="12297" max="12298" width="12" style="9" customWidth="1"/>
    <col min="12299" max="12299" width="16.140625" style="9" customWidth="1"/>
    <col min="12300" max="12300" width="7.7109375" style="9" customWidth="1"/>
    <col min="12301" max="12301" width="12" style="9" customWidth="1"/>
    <col min="12302" max="12303" width="9" style="9" customWidth="1"/>
    <col min="12304" max="12304" width="11.28515625" style="9" customWidth="1"/>
    <col min="12305" max="12306" width="12" style="9" customWidth="1"/>
    <col min="12307" max="12307" width="17.140625" style="9" customWidth="1"/>
    <col min="12308" max="12308" width="9" style="9" customWidth="1"/>
    <col min="12309" max="12309" width="12" style="9" customWidth="1"/>
    <col min="12310" max="12311" width="9" style="9" customWidth="1"/>
    <col min="12312" max="12312" width="9.85546875" style="9" customWidth="1"/>
    <col min="12313" max="12313" width="10.140625" style="9" customWidth="1"/>
    <col min="12314" max="12314" width="7.85546875" style="9" customWidth="1"/>
    <col min="12315" max="12315" width="8.5703125" style="9" customWidth="1"/>
    <col min="12316" max="12316" width="7.85546875" style="9" customWidth="1"/>
    <col min="12317" max="12317" width="8.7109375" style="9" customWidth="1"/>
    <col min="12318" max="12550" width="9.140625" style="9"/>
    <col min="12551" max="12551" width="5.42578125" style="9" customWidth="1"/>
    <col min="12552" max="12552" width="45.140625" style="9" customWidth="1"/>
    <col min="12553" max="12554" width="12" style="9" customWidth="1"/>
    <col min="12555" max="12555" width="16.140625" style="9" customWidth="1"/>
    <col min="12556" max="12556" width="7.7109375" style="9" customWidth="1"/>
    <col min="12557" max="12557" width="12" style="9" customWidth="1"/>
    <col min="12558" max="12559" width="9" style="9" customWidth="1"/>
    <col min="12560" max="12560" width="11.28515625" style="9" customWidth="1"/>
    <col min="12561" max="12562" width="12" style="9" customWidth="1"/>
    <col min="12563" max="12563" width="17.140625" style="9" customWidth="1"/>
    <col min="12564" max="12564" width="9" style="9" customWidth="1"/>
    <col min="12565" max="12565" width="12" style="9" customWidth="1"/>
    <col min="12566" max="12567" width="9" style="9" customWidth="1"/>
    <col min="12568" max="12568" width="9.85546875" style="9" customWidth="1"/>
    <col min="12569" max="12569" width="10.140625" style="9" customWidth="1"/>
    <col min="12570" max="12570" width="7.85546875" style="9" customWidth="1"/>
    <col min="12571" max="12571" width="8.5703125" style="9" customWidth="1"/>
    <col min="12572" max="12572" width="7.85546875" style="9" customWidth="1"/>
    <col min="12573" max="12573" width="8.7109375" style="9" customWidth="1"/>
    <col min="12574" max="12806" width="9.140625" style="9"/>
    <col min="12807" max="12807" width="5.42578125" style="9" customWidth="1"/>
    <col min="12808" max="12808" width="45.140625" style="9" customWidth="1"/>
    <col min="12809" max="12810" width="12" style="9" customWidth="1"/>
    <col min="12811" max="12811" width="16.140625" style="9" customWidth="1"/>
    <col min="12812" max="12812" width="7.7109375" style="9" customWidth="1"/>
    <col min="12813" max="12813" width="12" style="9" customWidth="1"/>
    <col min="12814" max="12815" width="9" style="9" customWidth="1"/>
    <col min="12816" max="12816" width="11.28515625" style="9" customWidth="1"/>
    <col min="12817" max="12818" width="12" style="9" customWidth="1"/>
    <col min="12819" max="12819" width="17.140625" style="9" customWidth="1"/>
    <col min="12820" max="12820" width="9" style="9" customWidth="1"/>
    <col min="12821" max="12821" width="12" style="9" customWidth="1"/>
    <col min="12822" max="12823" width="9" style="9" customWidth="1"/>
    <col min="12824" max="12824" width="9.85546875" style="9" customWidth="1"/>
    <col min="12825" max="12825" width="10.140625" style="9" customWidth="1"/>
    <col min="12826" max="12826" width="7.85546875" style="9" customWidth="1"/>
    <col min="12827" max="12827" width="8.5703125" style="9" customWidth="1"/>
    <col min="12828" max="12828" width="7.85546875" style="9" customWidth="1"/>
    <col min="12829" max="12829" width="8.7109375" style="9" customWidth="1"/>
    <col min="12830" max="13062" width="9.140625" style="9"/>
    <col min="13063" max="13063" width="5.42578125" style="9" customWidth="1"/>
    <col min="13064" max="13064" width="45.140625" style="9" customWidth="1"/>
    <col min="13065" max="13066" width="12" style="9" customWidth="1"/>
    <col min="13067" max="13067" width="16.140625" style="9" customWidth="1"/>
    <col min="13068" max="13068" width="7.7109375" style="9" customWidth="1"/>
    <col min="13069" max="13069" width="12" style="9" customWidth="1"/>
    <col min="13070" max="13071" width="9" style="9" customWidth="1"/>
    <col min="13072" max="13072" width="11.28515625" style="9" customWidth="1"/>
    <col min="13073" max="13074" width="12" style="9" customWidth="1"/>
    <col min="13075" max="13075" width="17.140625" style="9" customWidth="1"/>
    <col min="13076" max="13076" width="9" style="9" customWidth="1"/>
    <col min="13077" max="13077" width="12" style="9" customWidth="1"/>
    <col min="13078" max="13079" width="9" style="9" customWidth="1"/>
    <col min="13080" max="13080" width="9.85546875" style="9" customWidth="1"/>
    <col min="13081" max="13081" width="10.140625" style="9" customWidth="1"/>
    <col min="13082" max="13082" width="7.85546875" style="9" customWidth="1"/>
    <col min="13083" max="13083" width="8.5703125" style="9" customWidth="1"/>
    <col min="13084" max="13084" width="7.85546875" style="9" customWidth="1"/>
    <col min="13085" max="13085" width="8.7109375" style="9" customWidth="1"/>
    <col min="13086" max="13318" width="9.140625" style="9"/>
    <col min="13319" max="13319" width="5.42578125" style="9" customWidth="1"/>
    <col min="13320" max="13320" width="45.140625" style="9" customWidth="1"/>
    <col min="13321" max="13322" width="12" style="9" customWidth="1"/>
    <col min="13323" max="13323" width="16.140625" style="9" customWidth="1"/>
    <col min="13324" max="13324" width="7.7109375" style="9" customWidth="1"/>
    <col min="13325" max="13325" width="12" style="9" customWidth="1"/>
    <col min="13326" max="13327" width="9" style="9" customWidth="1"/>
    <col min="13328" max="13328" width="11.28515625" style="9" customWidth="1"/>
    <col min="13329" max="13330" width="12" style="9" customWidth="1"/>
    <col min="13331" max="13331" width="17.140625" style="9" customWidth="1"/>
    <col min="13332" max="13332" width="9" style="9" customWidth="1"/>
    <col min="13333" max="13333" width="12" style="9" customWidth="1"/>
    <col min="13334" max="13335" width="9" style="9" customWidth="1"/>
    <col min="13336" max="13336" width="9.85546875" style="9" customWidth="1"/>
    <col min="13337" max="13337" width="10.140625" style="9" customWidth="1"/>
    <col min="13338" max="13338" width="7.85546875" style="9" customWidth="1"/>
    <col min="13339" max="13339" width="8.5703125" style="9" customWidth="1"/>
    <col min="13340" max="13340" width="7.85546875" style="9" customWidth="1"/>
    <col min="13341" max="13341" width="8.7109375" style="9" customWidth="1"/>
    <col min="13342" max="13574" width="9.140625" style="9"/>
    <col min="13575" max="13575" width="5.42578125" style="9" customWidth="1"/>
    <col min="13576" max="13576" width="45.140625" style="9" customWidth="1"/>
    <col min="13577" max="13578" width="12" style="9" customWidth="1"/>
    <col min="13579" max="13579" width="16.140625" style="9" customWidth="1"/>
    <col min="13580" max="13580" width="7.7109375" style="9" customWidth="1"/>
    <col min="13581" max="13581" width="12" style="9" customWidth="1"/>
    <col min="13582" max="13583" width="9" style="9" customWidth="1"/>
    <col min="13584" max="13584" width="11.28515625" style="9" customWidth="1"/>
    <col min="13585" max="13586" width="12" style="9" customWidth="1"/>
    <col min="13587" max="13587" width="17.140625" style="9" customWidth="1"/>
    <col min="13588" max="13588" width="9" style="9" customWidth="1"/>
    <col min="13589" max="13589" width="12" style="9" customWidth="1"/>
    <col min="13590" max="13591" width="9" style="9" customWidth="1"/>
    <col min="13592" max="13592" width="9.85546875" style="9" customWidth="1"/>
    <col min="13593" max="13593" width="10.140625" style="9" customWidth="1"/>
    <col min="13594" max="13594" width="7.85546875" style="9" customWidth="1"/>
    <col min="13595" max="13595" width="8.5703125" style="9" customWidth="1"/>
    <col min="13596" max="13596" width="7.85546875" style="9" customWidth="1"/>
    <col min="13597" max="13597" width="8.7109375" style="9" customWidth="1"/>
    <col min="13598" max="13830" width="9.140625" style="9"/>
    <col min="13831" max="13831" width="5.42578125" style="9" customWidth="1"/>
    <col min="13832" max="13832" width="45.140625" style="9" customWidth="1"/>
    <col min="13833" max="13834" width="12" style="9" customWidth="1"/>
    <col min="13835" max="13835" width="16.140625" style="9" customWidth="1"/>
    <col min="13836" max="13836" width="7.7109375" style="9" customWidth="1"/>
    <col min="13837" max="13837" width="12" style="9" customWidth="1"/>
    <col min="13838" max="13839" width="9" style="9" customWidth="1"/>
    <col min="13840" max="13840" width="11.28515625" style="9" customWidth="1"/>
    <col min="13841" max="13842" width="12" style="9" customWidth="1"/>
    <col min="13843" max="13843" width="17.140625" style="9" customWidth="1"/>
    <col min="13844" max="13844" width="9" style="9" customWidth="1"/>
    <col min="13845" max="13845" width="12" style="9" customWidth="1"/>
    <col min="13846" max="13847" width="9" style="9" customWidth="1"/>
    <col min="13848" max="13848" width="9.85546875" style="9" customWidth="1"/>
    <col min="13849" max="13849" width="10.140625" style="9" customWidth="1"/>
    <col min="13850" max="13850" width="7.85546875" style="9" customWidth="1"/>
    <col min="13851" max="13851" width="8.5703125" style="9" customWidth="1"/>
    <col min="13852" max="13852" width="7.85546875" style="9" customWidth="1"/>
    <col min="13853" max="13853" width="8.7109375" style="9" customWidth="1"/>
    <col min="13854" max="14086" width="9.140625" style="9"/>
    <col min="14087" max="14087" width="5.42578125" style="9" customWidth="1"/>
    <col min="14088" max="14088" width="45.140625" style="9" customWidth="1"/>
    <col min="14089" max="14090" width="12" style="9" customWidth="1"/>
    <col min="14091" max="14091" width="16.140625" style="9" customWidth="1"/>
    <col min="14092" max="14092" width="7.7109375" style="9" customWidth="1"/>
    <col min="14093" max="14093" width="12" style="9" customWidth="1"/>
    <col min="14094" max="14095" width="9" style="9" customWidth="1"/>
    <col min="14096" max="14096" width="11.28515625" style="9" customWidth="1"/>
    <col min="14097" max="14098" width="12" style="9" customWidth="1"/>
    <col min="14099" max="14099" width="17.140625" style="9" customWidth="1"/>
    <col min="14100" max="14100" width="9" style="9" customWidth="1"/>
    <col min="14101" max="14101" width="12" style="9" customWidth="1"/>
    <col min="14102" max="14103" width="9" style="9" customWidth="1"/>
    <col min="14104" max="14104" width="9.85546875" style="9" customWidth="1"/>
    <col min="14105" max="14105" width="10.140625" style="9" customWidth="1"/>
    <col min="14106" max="14106" width="7.85546875" style="9" customWidth="1"/>
    <col min="14107" max="14107" width="8.5703125" style="9" customWidth="1"/>
    <col min="14108" max="14108" width="7.85546875" style="9" customWidth="1"/>
    <col min="14109" max="14109" width="8.7109375" style="9" customWidth="1"/>
    <col min="14110" max="14342" width="9.140625" style="9"/>
    <col min="14343" max="14343" width="5.42578125" style="9" customWidth="1"/>
    <col min="14344" max="14344" width="45.140625" style="9" customWidth="1"/>
    <col min="14345" max="14346" width="12" style="9" customWidth="1"/>
    <col min="14347" max="14347" width="16.140625" style="9" customWidth="1"/>
    <col min="14348" max="14348" width="7.7109375" style="9" customWidth="1"/>
    <col min="14349" max="14349" width="12" style="9" customWidth="1"/>
    <col min="14350" max="14351" width="9" style="9" customWidth="1"/>
    <col min="14352" max="14352" width="11.28515625" style="9" customWidth="1"/>
    <col min="14353" max="14354" width="12" style="9" customWidth="1"/>
    <col min="14355" max="14355" width="17.140625" style="9" customWidth="1"/>
    <col min="14356" max="14356" width="9" style="9" customWidth="1"/>
    <col min="14357" max="14357" width="12" style="9" customWidth="1"/>
    <col min="14358" max="14359" width="9" style="9" customWidth="1"/>
    <col min="14360" max="14360" width="9.85546875" style="9" customWidth="1"/>
    <col min="14361" max="14361" width="10.140625" style="9" customWidth="1"/>
    <col min="14362" max="14362" width="7.85546875" style="9" customWidth="1"/>
    <col min="14363" max="14363" width="8.5703125" style="9" customWidth="1"/>
    <col min="14364" max="14364" width="7.85546875" style="9" customWidth="1"/>
    <col min="14365" max="14365" width="8.7109375" style="9" customWidth="1"/>
    <col min="14366" max="14598" width="9.140625" style="9"/>
    <col min="14599" max="14599" width="5.42578125" style="9" customWidth="1"/>
    <col min="14600" max="14600" width="45.140625" style="9" customWidth="1"/>
    <col min="14601" max="14602" width="12" style="9" customWidth="1"/>
    <col min="14603" max="14603" width="16.140625" style="9" customWidth="1"/>
    <col min="14604" max="14604" width="7.7109375" style="9" customWidth="1"/>
    <col min="14605" max="14605" width="12" style="9" customWidth="1"/>
    <col min="14606" max="14607" width="9" style="9" customWidth="1"/>
    <col min="14608" max="14608" width="11.28515625" style="9" customWidth="1"/>
    <col min="14609" max="14610" width="12" style="9" customWidth="1"/>
    <col min="14611" max="14611" width="17.140625" style="9" customWidth="1"/>
    <col min="14612" max="14612" width="9" style="9" customWidth="1"/>
    <col min="14613" max="14613" width="12" style="9" customWidth="1"/>
    <col min="14614" max="14615" width="9" style="9" customWidth="1"/>
    <col min="14616" max="14616" width="9.85546875" style="9" customWidth="1"/>
    <col min="14617" max="14617" width="10.140625" style="9" customWidth="1"/>
    <col min="14618" max="14618" width="7.85546875" style="9" customWidth="1"/>
    <col min="14619" max="14619" width="8.5703125" style="9" customWidth="1"/>
    <col min="14620" max="14620" width="7.85546875" style="9" customWidth="1"/>
    <col min="14621" max="14621" width="8.7109375" style="9" customWidth="1"/>
    <col min="14622" max="14854" width="9.140625" style="9"/>
    <col min="14855" max="14855" width="5.42578125" style="9" customWidth="1"/>
    <col min="14856" max="14856" width="45.140625" style="9" customWidth="1"/>
    <col min="14857" max="14858" width="12" style="9" customWidth="1"/>
    <col min="14859" max="14859" width="16.140625" style="9" customWidth="1"/>
    <col min="14860" max="14860" width="7.7109375" style="9" customWidth="1"/>
    <col min="14861" max="14861" width="12" style="9" customWidth="1"/>
    <col min="14862" max="14863" width="9" style="9" customWidth="1"/>
    <col min="14864" max="14864" width="11.28515625" style="9" customWidth="1"/>
    <col min="14865" max="14866" width="12" style="9" customWidth="1"/>
    <col min="14867" max="14867" width="17.140625" style="9" customWidth="1"/>
    <col min="14868" max="14868" width="9" style="9" customWidth="1"/>
    <col min="14869" max="14869" width="12" style="9" customWidth="1"/>
    <col min="14870" max="14871" width="9" style="9" customWidth="1"/>
    <col min="14872" max="14872" width="9.85546875" style="9" customWidth="1"/>
    <col min="14873" max="14873" width="10.140625" style="9" customWidth="1"/>
    <col min="14874" max="14874" width="7.85546875" style="9" customWidth="1"/>
    <col min="14875" max="14875" width="8.5703125" style="9" customWidth="1"/>
    <col min="14876" max="14876" width="7.85546875" style="9" customWidth="1"/>
    <col min="14877" max="14877" width="8.7109375" style="9" customWidth="1"/>
    <col min="14878" max="15110" width="9.140625" style="9"/>
    <col min="15111" max="15111" width="5.42578125" style="9" customWidth="1"/>
    <col min="15112" max="15112" width="45.140625" style="9" customWidth="1"/>
    <col min="15113" max="15114" width="12" style="9" customWidth="1"/>
    <col min="15115" max="15115" width="16.140625" style="9" customWidth="1"/>
    <col min="15116" max="15116" width="7.7109375" style="9" customWidth="1"/>
    <col min="15117" max="15117" width="12" style="9" customWidth="1"/>
    <col min="15118" max="15119" width="9" style="9" customWidth="1"/>
    <col min="15120" max="15120" width="11.28515625" style="9" customWidth="1"/>
    <col min="15121" max="15122" width="12" style="9" customWidth="1"/>
    <col min="15123" max="15123" width="17.140625" style="9" customWidth="1"/>
    <col min="15124" max="15124" width="9" style="9" customWidth="1"/>
    <col min="15125" max="15125" width="12" style="9" customWidth="1"/>
    <col min="15126" max="15127" width="9" style="9" customWidth="1"/>
    <col min="15128" max="15128" width="9.85546875" style="9" customWidth="1"/>
    <col min="15129" max="15129" width="10.140625" style="9" customWidth="1"/>
    <col min="15130" max="15130" width="7.85546875" style="9" customWidth="1"/>
    <col min="15131" max="15131" width="8.5703125" style="9" customWidth="1"/>
    <col min="15132" max="15132" width="7.85546875" style="9" customWidth="1"/>
    <col min="15133" max="15133" width="8.7109375" style="9" customWidth="1"/>
    <col min="15134" max="15366" width="9.140625" style="9"/>
    <col min="15367" max="15367" width="5.42578125" style="9" customWidth="1"/>
    <col min="15368" max="15368" width="45.140625" style="9" customWidth="1"/>
    <col min="15369" max="15370" width="12" style="9" customWidth="1"/>
    <col min="15371" max="15371" width="16.140625" style="9" customWidth="1"/>
    <col min="15372" max="15372" width="7.7109375" style="9" customWidth="1"/>
    <col min="15373" max="15373" width="12" style="9" customWidth="1"/>
    <col min="15374" max="15375" width="9" style="9" customWidth="1"/>
    <col min="15376" max="15376" width="11.28515625" style="9" customWidth="1"/>
    <col min="15377" max="15378" width="12" style="9" customWidth="1"/>
    <col min="15379" max="15379" width="17.140625" style="9" customWidth="1"/>
    <col min="15380" max="15380" width="9" style="9" customWidth="1"/>
    <col min="15381" max="15381" width="12" style="9" customWidth="1"/>
    <col min="15382" max="15383" width="9" style="9" customWidth="1"/>
    <col min="15384" max="15384" width="9.85546875" style="9" customWidth="1"/>
    <col min="15385" max="15385" width="10.140625" style="9" customWidth="1"/>
    <col min="15386" max="15386" width="7.85546875" style="9" customWidth="1"/>
    <col min="15387" max="15387" width="8.5703125" style="9" customWidth="1"/>
    <col min="15388" max="15388" width="7.85546875" style="9" customWidth="1"/>
    <col min="15389" max="15389" width="8.7109375" style="9" customWidth="1"/>
    <col min="15390" max="15622" width="9.140625" style="9"/>
    <col min="15623" max="15623" width="5.42578125" style="9" customWidth="1"/>
    <col min="15624" max="15624" width="45.140625" style="9" customWidth="1"/>
    <col min="15625" max="15626" width="12" style="9" customWidth="1"/>
    <col min="15627" max="15627" width="16.140625" style="9" customWidth="1"/>
    <col min="15628" max="15628" width="7.7109375" style="9" customWidth="1"/>
    <col min="15629" max="15629" width="12" style="9" customWidth="1"/>
    <col min="15630" max="15631" width="9" style="9" customWidth="1"/>
    <col min="15632" max="15632" width="11.28515625" style="9" customWidth="1"/>
    <col min="15633" max="15634" width="12" style="9" customWidth="1"/>
    <col min="15635" max="15635" width="17.140625" style="9" customWidth="1"/>
    <col min="15636" max="15636" width="9" style="9" customWidth="1"/>
    <col min="15637" max="15637" width="12" style="9" customWidth="1"/>
    <col min="15638" max="15639" width="9" style="9" customWidth="1"/>
    <col min="15640" max="15640" width="9.85546875" style="9" customWidth="1"/>
    <col min="15641" max="15641" width="10.140625" style="9" customWidth="1"/>
    <col min="15642" max="15642" width="7.85546875" style="9" customWidth="1"/>
    <col min="15643" max="15643" width="8.5703125" style="9" customWidth="1"/>
    <col min="15644" max="15644" width="7.85546875" style="9" customWidth="1"/>
    <col min="15645" max="15645" width="8.7109375" style="9" customWidth="1"/>
    <col min="15646" max="15878" width="9.140625" style="9"/>
    <col min="15879" max="15879" width="5.42578125" style="9" customWidth="1"/>
    <col min="15880" max="15880" width="45.140625" style="9" customWidth="1"/>
    <col min="15881" max="15882" width="12" style="9" customWidth="1"/>
    <col min="15883" max="15883" width="16.140625" style="9" customWidth="1"/>
    <col min="15884" max="15884" width="7.7109375" style="9" customWidth="1"/>
    <col min="15885" max="15885" width="12" style="9" customWidth="1"/>
    <col min="15886" max="15887" width="9" style="9" customWidth="1"/>
    <col min="15888" max="15888" width="11.28515625" style="9" customWidth="1"/>
    <col min="15889" max="15890" width="12" style="9" customWidth="1"/>
    <col min="15891" max="15891" width="17.140625" style="9" customWidth="1"/>
    <col min="15892" max="15892" width="9" style="9" customWidth="1"/>
    <col min="15893" max="15893" width="12" style="9" customWidth="1"/>
    <col min="15894" max="15895" width="9" style="9" customWidth="1"/>
    <col min="15896" max="15896" width="9.85546875" style="9" customWidth="1"/>
    <col min="15897" max="15897" width="10.140625" style="9" customWidth="1"/>
    <col min="15898" max="15898" width="7.85546875" style="9" customWidth="1"/>
    <col min="15899" max="15899" width="8.5703125" style="9" customWidth="1"/>
    <col min="15900" max="15900" width="7.85546875" style="9" customWidth="1"/>
    <col min="15901" max="15901" width="8.7109375" style="9" customWidth="1"/>
    <col min="15902" max="16134" width="9.140625" style="9"/>
    <col min="16135" max="16135" width="5.42578125" style="9" customWidth="1"/>
    <col min="16136" max="16136" width="45.140625" style="9" customWidth="1"/>
    <col min="16137" max="16138" width="12" style="9" customWidth="1"/>
    <col min="16139" max="16139" width="16.140625" style="9" customWidth="1"/>
    <col min="16140" max="16140" width="7.7109375" style="9" customWidth="1"/>
    <col min="16141" max="16141" width="12" style="9" customWidth="1"/>
    <col min="16142" max="16143" width="9" style="9" customWidth="1"/>
    <col min="16144" max="16144" width="11.28515625" style="9" customWidth="1"/>
    <col min="16145" max="16146" width="12" style="9" customWidth="1"/>
    <col min="16147" max="16147" width="17.140625" style="9" customWidth="1"/>
    <col min="16148" max="16148" width="9" style="9" customWidth="1"/>
    <col min="16149" max="16149" width="12" style="9" customWidth="1"/>
    <col min="16150" max="16151" width="9" style="9" customWidth="1"/>
    <col min="16152" max="16152" width="9.85546875" style="9" customWidth="1"/>
    <col min="16153" max="16153" width="10.140625" style="9" customWidth="1"/>
    <col min="16154" max="16154" width="7.85546875" style="9" customWidth="1"/>
    <col min="16155" max="16155" width="8.5703125" style="9" customWidth="1"/>
    <col min="16156" max="16156" width="7.85546875" style="9" customWidth="1"/>
    <col min="16157" max="16157" width="8.7109375" style="9" customWidth="1"/>
    <col min="16158" max="16384" width="9.140625" style="9"/>
  </cols>
  <sheetData>
    <row r="1" spans="1:35" ht="16.5" x14ac:dyDescent="0.25">
      <c r="A1" s="63"/>
      <c r="B1" s="371" t="s">
        <v>514</v>
      </c>
      <c r="C1" s="371"/>
      <c r="D1" s="29"/>
      <c r="E1" s="6"/>
      <c r="F1" s="6"/>
      <c r="G1" s="6"/>
      <c r="H1" s="6"/>
      <c r="O1" s="29"/>
      <c r="P1" s="6"/>
      <c r="Q1" s="6"/>
      <c r="R1" s="6"/>
      <c r="AB1" s="15"/>
      <c r="AF1" s="9"/>
    </row>
    <row r="2" spans="1:35" x14ac:dyDescent="0.25">
      <c r="A2" s="31"/>
      <c r="B2" s="6"/>
      <c r="C2" s="6"/>
      <c r="D2" s="29"/>
      <c r="G2" s="6"/>
      <c r="O2" s="29"/>
      <c r="AB2" s="6"/>
      <c r="AF2" s="9"/>
    </row>
    <row r="3" spans="1:35" ht="21.75" customHeight="1" x14ac:dyDescent="0.25">
      <c r="A3" s="328" t="s">
        <v>421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64"/>
    </row>
    <row r="4" spans="1:35" ht="21.75" customHeight="1" x14ac:dyDescent="0.25">
      <c r="A4" s="342" t="s">
        <v>489</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64"/>
    </row>
    <row r="5" spans="1:35" ht="21.75" hidden="1" customHeight="1" x14ac:dyDescent="0.25">
      <c r="A5" s="134"/>
      <c r="B5" s="66"/>
      <c r="C5" s="227"/>
      <c r="D5" s="66"/>
      <c r="E5" s="66"/>
      <c r="F5" s="66"/>
      <c r="G5" s="66"/>
      <c r="H5" s="227"/>
      <c r="I5" s="227"/>
      <c r="J5" s="66"/>
      <c r="K5" s="66"/>
      <c r="L5" s="66"/>
      <c r="M5" s="66"/>
      <c r="N5" s="66"/>
      <c r="O5" s="66"/>
      <c r="P5" s="66"/>
      <c r="Q5" s="66"/>
      <c r="R5" s="66"/>
      <c r="S5" s="66"/>
      <c r="T5" s="66"/>
      <c r="U5" s="66"/>
      <c r="V5" s="66"/>
      <c r="W5" s="66"/>
      <c r="X5" s="66"/>
      <c r="Y5" s="66"/>
      <c r="Z5" s="66"/>
      <c r="AA5" s="66"/>
      <c r="AB5" s="66"/>
      <c r="AC5" s="66"/>
      <c r="AD5" s="66"/>
      <c r="AE5" s="66"/>
      <c r="AF5" s="64"/>
    </row>
    <row r="6" spans="1:35" hidden="1" x14ac:dyDescent="0.25">
      <c r="B6" s="228"/>
      <c r="C6" s="229"/>
      <c r="D6" s="6"/>
      <c r="E6" s="6"/>
      <c r="F6" s="6"/>
      <c r="G6" s="6"/>
      <c r="H6" s="6"/>
      <c r="I6" s="6"/>
      <c r="J6" s="6"/>
      <c r="K6" s="6"/>
      <c r="L6" s="6"/>
      <c r="M6" s="6"/>
      <c r="N6" s="230">
        <f>N11+'[1]bieu 52_'!D9</f>
        <v>8083350.9689600011</v>
      </c>
      <c r="O6" s="6"/>
      <c r="P6" s="6"/>
      <c r="Q6" s="6"/>
      <c r="R6" s="6"/>
      <c r="S6" s="6"/>
      <c r="T6" s="6"/>
      <c r="U6" s="6"/>
      <c r="W6" s="29"/>
      <c r="X6" s="6"/>
      <c r="Y6" s="6"/>
      <c r="Z6" s="6"/>
      <c r="AA6" s="6"/>
      <c r="AB6" s="343"/>
      <c r="AC6" s="343"/>
      <c r="AD6" s="372" t="s">
        <v>490</v>
      </c>
      <c r="AE6" s="372"/>
      <c r="AF6" s="9"/>
    </row>
    <row r="7" spans="1:35" s="67" customFormat="1" ht="15.75" customHeight="1" x14ac:dyDescent="0.2">
      <c r="A7" s="334" t="s">
        <v>2</v>
      </c>
      <c r="B7" s="334" t="s">
        <v>97</v>
      </c>
      <c r="C7" s="369" t="s">
        <v>35</v>
      </c>
      <c r="D7" s="373"/>
      <c r="E7" s="373"/>
      <c r="F7" s="373"/>
      <c r="G7" s="373"/>
      <c r="H7" s="373"/>
      <c r="I7" s="373"/>
      <c r="J7" s="373"/>
      <c r="K7" s="373"/>
      <c r="L7" s="373"/>
      <c r="M7" s="370"/>
      <c r="N7" s="369" t="s">
        <v>5</v>
      </c>
      <c r="O7" s="373"/>
      <c r="P7" s="373"/>
      <c r="Q7" s="373"/>
      <c r="R7" s="373"/>
      <c r="S7" s="373"/>
      <c r="T7" s="373"/>
      <c r="U7" s="373"/>
      <c r="V7" s="373"/>
      <c r="W7" s="373"/>
      <c r="X7" s="373"/>
      <c r="Y7" s="133"/>
      <c r="Z7" s="133"/>
      <c r="AA7" s="133"/>
      <c r="AB7" s="334" t="s">
        <v>6</v>
      </c>
      <c r="AC7" s="334"/>
      <c r="AD7" s="334"/>
      <c r="AE7" s="334"/>
    </row>
    <row r="8" spans="1:35" s="67" customFormat="1" ht="25.5" customHeight="1" x14ac:dyDescent="0.2">
      <c r="A8" s="334"/>
      <c r="B8" s="334"/>
      <c r="C8" s="334" t="s">
        <v>253</v>
      </c>
      <c r="D8" s="334" t="s">
        <v>99</v>
      </c>
      <c r="E8" s="334" t="s">
        <v>100</v>
      </c>
      <c r="F8" s="334" t="s">
        <v>227</v>
      </c>
      <c r="G8" s="369" t="s">
        <v>228</v>
      </c>
      <c r="H8" s="370"/>
      <c r="I8" s="334" t="s">
        <v>254</v>
      </c>
      <c r="J8" s="338" t="s">
        <v>515</v>
      </c>
      <c r="K8" s="334" t="s">
        <v>101</v>
      </c>
      <c r="L8" s="334"/>
      <c r="M8" s="334"/>
      <c r="N8" s="334" t="s">
        <v>98</v>
      </c>
      <c r="O8" s="334" t="s">
        <v>99</v>
      </c>
      <c r="P8" s="334" t="s">
        <v>100</v>
      </c>
      <c r="Q8" s="374" t="s">
        <v>124</v>
      </c>
      <c r="R8" s="375"/>
      <c r="S8" s="334" t="s">
        <v>254</v>
      </c>
      <c r="T8" s="334" t="s">
        <v>515</v>
      </c>
      <c r="U8" s="334" t="s">
        <v>101</v>
      </c>
      <c r="V8" s="334"/>
      <c r="W8" s="334"/>
      <c r="X8" s="334" t="s">
        <v>102</v>
      </c>
      <c r="Y8" s="369" t="s">
        <v>124</v>
      </c>
      <c r="Z8" s="370"/>
      <c r="AA8" s="334" t="s">
        <v>255</v>
      </c>
      <c r="AB8" s="334" t="s">
        <v>98</v>
      </c>
      <c r="AC8" s="376" t="s">
        <v>99</v>
      </c>
      <c r="AD8" s="376" t="s">
        <v>100</v>
      </c>
      <c r="AE8" s="376" t="s">
        <v>101</v>
      </c>
    </row>
    <row r="9" spans="1:35" s="71" customFormat="1" ht="160.5" customHeight="1" x14ac:dyDescent="0.2">
      <c r="A9" s="334"/>
      <c r="B9" s="334"/>
      <c r="C9" s="334"/>
      <c r="D9" s="334"/>
      <c r="E9" s="334"/>
      <c r="F9" s="334"/>
      <c r="G9" s="68" t="s">
        <v>128</v>
      </c>
      <c r="H9" s="68" t="s">
        <v>127</v>
      </c>
      <c r="I9" s="334"/>
      <c r="J9" s="338"/>
      <c r="K9" s="69" t="s">
        <v>98</v>
      </c>
      <c r="L9" s="69" t="s">
        <v>103</v>
      </c>
      <c r="M9" s="69" t="s">
        <v>104</v>
      </c>
      <c r="N9" s="334"/>
      <c r="O9" s="334"/>
      <c r="P9" s="334"/>
      <c r="Q9" s="70" t="s">
        <v>158</v>
      </c>
      <c r="R9" s="70" t="s">
        <v>159</v>
      </c>
      <c r="S9" s="334"/>
      <c r="T9" s="334"/>
      <c r="U9" s="69" t="s">
        <v>98</v>
      </c>
      <c r="V9" s="69" t="s">
        <v>103</v>
      </c>
      <c r="W9" s="69" t="s">
        <v>104</v>
      </c>
      <c r="X9" s="334"/>
      <c r="Y9" s="68" t="s">
        <v>161</v>
      </c>
      <c r="Z9" s="68" t="s">
        <v>160</v>
      </c>
      <c r="AA9" s="334"/>
      <c r="AB9" s="334"/>
      <c r="AC9" s="376"/>
      <c r="AD9" s="376"/>
      <c r="AE9" s="376"/>
    </row>
    <row r="10" spans="1:35" s="74" customFormat="1" ht="18.75" customHeight="1" x14ac:dyDescent="0.2">
      <c r="A10" s="72" t="s">
        <v>7</v>
      </c>
      <c r="B10" s="72" t="s">
        <v>8</v>
      </c>
      <c r="C10" s="72" t="s">
        <v>152</v>
      </c>
      <c r="D10" s="72">
        <v>2</v>
      </c>
      <c r="E10" s="72">
        <v>3</v>
      </c>
      <c r="F10" s="72"/>
      <c r="G10" s="72"/>
      <c r="H10" s="72"/>
      <c r="I10" s="72">
        <v>4</v>
      </c>
      <c r="J10" s="72">
        <v>5</v>
      </c>
      <c r="K10" s="72" t="s">
        <v>141</v>
      </c>
      <c r="L10" s="72">
        <v>7</v>
      </c>
      <c r="M10" s="72">
        <v>8</v>
      </c>
      <c r="N10" s="73" t="s">
        <v>516</v>
      </c>
      <c r="O10" s="72">
        <v>10</v>
      </c>
      <c r="P10" s="72">
        <v>11</v>
      </c>
      <c r="Q10" s="72"/>
      <c r="R10" s="72"/>
      <c r="S10" s="72">
        <v>12</v>
      </c>
      <c r="T10" s="72">
        <v>13</v>
      </c>
      <c r="U10" s="72" t="s">
        <v>153</v>
      </c>
      <c r="V10" s="72">
        <v>15</v>
      </c>
      <c r="W10" s="72">
        <v>16</v>
      </c>
      <c r="X10" s="72" t="s">
        <v>517</v>
      </c>
      <c r="Y10" s="72">
        <v>18</v>
      </c>
      <c r="Z10" s="72">
        <v>19</v>
      </c>
      <c r="AA10" s="72">
        <v>20</v>
      </c>
      <c r="AB10" s="72" t="s">
        <v>518</v>
      </c>
      <c r="AC10" s="72" t="s">
        <v>519</v>
      </c>
      <c r="AD10" s="72" t="s">
        <v>520</v>
      </c>
      <c r="AE10" s="72" t="s">
        <v>521</v>
      </c>
      <c r="AG10" s="231">
        <f>O11-'[1]bieu 53_'!M8</f>
        <v>1986836.6887870003</v>
      </c>
    </row>
    <row r="11" spans="1:35" s="46" customFormat="1" ht="18.75" customHeight="1" x14ac:dyDescent="0.25">
      <c r="A11" s="75"/>
      <c r="B11" s="75" t="s">
        <v>98</v>
      </c>
      <c r="C11" s="76">
        <f>D11+E11+I11+J11+K11</f>
        <v>4869530.6639999999</v>
      </c>
      <c r="D11" s="75">
        <f>D12+D111+D112+D113+D116+D117+D103+D114</f>
        <v>2621912.6639999999</v>
      </c>
      <c r="E11" s="75">
        <f t="shared" ref="E11:M11" si="0">E12+E111+E112+E113+E116+E117+E103+E114</f>
        <v>1779289</v>
      </c>
      <c r="F11" s="75">
        <f t="shared" si="0"/>
        <v>1636507</v>
      </c>
      <c r="G11" s="75">
        <f t="shared" si="0"/>
        <v>18680</v>
      </c>
      <c r="H11" s="75">
        <f t="shared" si="0"/>
        <v>124102</v>
      </c>
      <c r="I11" s="75">
        <f t="shared" si="0"/>
        <v>2000</v>
      </c>
      <c r="J11" s="75">
        <f t="shared" si="0"/>
        <v>466329</v>
      </c>
      <c r="K11" s="75">
        <f t="shared" si="0"/>
        <v>0</v>
      </c>
      <c r="L11" s="75">
        <f t="shared" si="0"/>
        <v>0</v>
      </c>
      <c r="M11" s="75">
        <f t="shared" si="0"/>
        <v>0</v>
      </c>
      <c r="N11" s="75">
        <f t="shared" ref="N11:S11" si="1">N12+N111+N112+N113+N116+N117+N118+N115</f>
        <v>6076279.9689600011</v>
      </c>
      <c r="O11" s="75">
        <f t="shared" si="1"/>
        <v>1986836.6887870003</v>
      </c>
      <c r="P11" s="75">
        <f t="shared" si="1"/>
        <v>1838051.2794800003</v>
      </c>
      <c r="Q11" s="75">
        <f t="shared" si="1"/>
        <v>1496560.9167680005</v>
      </c>
      <c r="R11" s="75">
        <f t="shared" si="1"/>
        <v>341490.36271199997</v>
      </c>
      <c r="S11" s="75">
        <f t="shared" si="1"/>
        <v>9500.851999999999</v>
      </c>
      <c r="T11" s="75">
        <f>T12+T111+T112+T113+T116+T117+T118+T115</f>
        <v>546390.10800000001</v>
      </c>
      <c r="U11" s="75">
        <f t="shared" ref="U11:AA11" si="2">U12+U111+U112+U113+U116+U117+U118+U115</f>
        <v>37058.607468999995</v>
      </c>
      <c r="V11" s="75">
        <f t="shared" si="2"/>
        <v>36570.607468999995</v>
      </c>
      <c r="W11" s="75">
        <f t="shared" si="2"/>
        <v>488</v>
      </c>
      <c r="X11" s="75">
        <f t="shared" si="2"/>
        <v>1326874.6171550001</v>
      </c>
      <c r="Y11" s="75">
        <f t="shared" si="2"/>
        <v>0</v>
      </c>
      <c r="Z11" s="75">
        <f t="shared" si="2"/>
        <v>0</v>
      </c>
      <c r="AA11" s="75">
        <f t="shared" si="2"/>
        <v>331567.81606899999</v>
      </c>
      <c r="AB11" s="77">
        <f t="shared" ref="AB11:AC26" si="3">N11/C11%</f>
        <v>124.78163478631299</v>
      </c>
      <c r="AC11" s="77">
        <f>O11/D11%</f>
        <v>75.778141509712782</v>
      </c>
      <c r="AD11" s="77">
        <f t="shared" ref="AD11:AD72" si="4">P11/E11%</f>
        <v>103.30257082913458</v>
      </c>
      <c r="AE11" s="77"/>
    </row>
    <row r="12" spans="1:35" s="46" customFormat="1" ht="24.75" customHeight="1" x14ac:dyDescent="0.25">
      <c r="A12" s="76" t="s">
        <v>39</v>
      </c>
      <c r="B12" s="78" t="s">
        <v>256</v>
      </c>
      <c r="C12" s="76">
        <f>D12+E12+I12+J12+K12</f>
        <v>4327873.6639999999</v>
      </c>
      <c r="D12" s="76">
        <f t="shared" ref="D12:Z12" si="5">D13+D91</f>
        <v>2621912.6639999999</v>
      </c>
      <c r="E12" s="76">
        <f t="shared" si="5"/>
        <v>1705961</v>
      </c>
      <c r="F12" s="76">
        <f t="shared" si="5"/>
        <v>1563179</v>
      </c>
      <c r="G12" s="76">
        <f t="shared" si="5"/>
        <v>18680</v>
      </c>
      <c r="H12" s="76">
        <f t="shared" si="5"/>
        <v>124102</v>
      </c>
      <c r="I12" s="76">
        <f t="shared" si="5"/>
        <v>0</v>
      </c>
      <c r="J12" s="76">
        <f t="shared" si="5"/>
        <v>0</v>
      </c>
      <c r="K12" s="76">
        <f t="shared" si="5"/>
        <v>0</v>
      </c>
      <c r="L12" s="76">
        <f t="shared" si="5"/>
        <v>0</v>
      </c>
      <c r="M12" s="76">
        <f t="shared" si="5"/>
        <v>0</v>
      </c>
      <c r="N12" s="76">
        <f t="shared" si="5"/>
        <v>3861946.5757360002</v>
      </c>
      <c r="O12" s="76">
        <f t="shared" si="5"/>
        <v>1986836.6887870003</v>
      </c>
      <c r="P12" s="76">
        <f t="shared" si="5"/>
        <v>1838051.2794800003</v>
      </c>
      <c r="Q12" s="76">
        <f t="shared" si="5"/>
        <v>1496560.9167680005</v>
      </c>
      <c r="R12" s="76">
        <f t="shared" si="5"/>
        <v>341490.36271199997</v>
      </c>
      <c r="S12" s="76">
        <f t="shared" si="5"/>
        <v>0</v>
      </c>
      <c r="T12" s="76">
        <f t="shared" si="5"/>
        <v>0</v>
      </c>
      <c r="U12" s="76">
        <f t="shared" si="5"/>
        <v>37058.607468999995</v>
      </c>
      <c r="V12" s="76">
        <f t="shared" si="5"/>
        <v>36570.607468999995</v>
      </c>
      <c r="W12" s="76">
        <f t="shared" si="5"/>
        <v>488</v>
      </c>
      <c r="X12" s="76">
        <f t="shared" si="5"/>
        <v>0</v>
      </c>
      <c r="Y12" s="76">
        <f t="shared" si="5"/>
        <v>0</v>
      </c>
      <c r="Z12" s="76">
        <f t="shared" si="5"/>
        <v>0</v>
      </c>
      <c r="AA12" s="76"/>
      <c r="AB12" s="77">
        <f t="shared" si="3"/>
        <v>89.234272429445866</v>
      </c>
      <c r="AC12" s="77">
        <f t="shared" si="3"/>
        <v>75.778141509712782</v>
      </c>
      <c r="AD12" s="77">
        <f t="shared" si="4"/>
        <v>107.74286630702579</v>
      </c>
      <c r="AE12" s="77"/>
      <c r="AG12" s="54"/>
    </row>
    <row r="13" spans="1:35" s="46" customFormat="1" ht="33.75" customHeight="1" x14ac:dyDescent="0.25">
      <c r="A13" s="76" t="s">
        <v>257</v>
      </c>
      <c r="B13" s="78" t="s">
        <v>258</v>
      </c>
      <c r="C13" s="76">
        <f>D13+E13+I13+J13+K13</f>
        <v>3942688.429</v>
      </c>
      <c r="D13" s="76">
        <f t="shared" ref="D13:Z13" si="6">SUM(D14:D90)</f>
        <v>2236727.429</v>
      </c>
      <c r="E13" s="76">
        <f t="shared" si="6"/>
        <v>1705961</v>
      </c>
      <c r="F13" s="76">
        <f t="shared" si="6"/>
        <v>1563179</v>
      </c>
      <c r="G13" s="76">
        <f t="shared" si="6"/>
        <v>18680</v>
      </c>
      <c r="H13" s="76">
        <f t="shared" si="6"/>
        <v>124102</v>
      </c>
      <c r="I13" s="76">
        <f t="shared" si="6"/>
        <v>0</v>
      </c>
      <c r="J13" s="76">
        <f t="shared" si="6"/>
        <v>0</v>
      </c>
      <c r="K13" s="76">
        <f t="shared" si="6"/>
        <v>0</v>
      </c>
      <c r="L13" s="76">
        <f t="shared" si="6"/>
        <v>0</v>
      </c>
      <c r="M13" s="76">
        <f t="shared" si="6"/>
        <v>0</v>
      </c>
      <c r="N13" s="76">
        <f t="shared" si="6"/>
        <v>3481286.4938780004</v>
      </c>
      <c r="O13" s="76">
        <f t="shared" si="6"/>
        <v>1642747.2143980002</v>
      </c>
      <c r="P13" s="76">
        <f t="shared" si="6"/>
        <v>1838051.2794800003</v>
      </c>
      <c r="Q13" s="76">
        <f>SUM(Q14:Q90)</f>
        <v>1496560.9167680005</v>
      </c>
      <c r="R13" s="76">
        <f>SUM(R14:R90)</f>
        <v>341490.36271199997</v>
      </c>
      <c r="S13" s="76">
        <f t="shared" si="6"/>
        <v>0</v>
      </c>
      <c r="T13" s="76">
        <f t="shared" si="6"/>
        <v>0</v>
      </c>
      <c r="U13" s="76">
        <f t="shared" si="6"/>
        <v>488</v>
      </c>
      <c r="V13" s="76">
        <f t="shared" si="6"/>
        <v>0</v>
      </c>
      <c r="W13" s="76">
        <f t="shared" si="6"/>
        <v>488</v>
      </c>
      <c r="X13" s="76">
        <f t="shared" si="6"/>
        <v>0</v>
      </c>
      <c r="Y13" s="76">
        <f t="shared" si="6"/>
        <v>0</v>
      </c>
      <c r="Z13" s="76">
        <f t="shared" si="6"/>
        <v>0</v>
      </c>
      <c r="AA13" s="76"/>
      <c r="AB13" s="77">
        <f t="shared" si="3"/>
        <v>88.297276251194234</v>
      </c>
      <c r="AC13" s="77">
        <f t="shared" si="3"/>
        <v>73.444228970377594</v>
      </c>
      <c r="AD13" s="77">
        <f t="shared" si="4"/>
        <v>107.74286630702579</v>
      </c>
      <c r="AE13" s="77"/>
      <c r="AG13" s="232"/>
      <c r="AH13" s="30"/>
      <c r="AI13" s="9"/>
    </row>
    <row r="14" spans="1:35" s="16" customFormat="1" ht="39.75" customHeight="1" x14ac:dyDescent="0.25">
      <c r="A14" s="80" t="s">
        <v>259</v>
      </c>
      <c r="B14" s="81" t="s">
        <v>260</v>
      </c>
      <c r="C14" s="82">
        <f>D14+E14+I14+J14+K14</f>
        <v>166290</v>
      </c>
      <c r="D14" s="82">
        <v>250</v>
      </c>
      <c r="E14" s="82">
        <f>F14+G14+H14</f>
        <v>166040</v>
      </c>
      <c r="F14" s="82">
        <v>165840</v>
      </c>
      <c r="G14" s="82">
        <v>200</v>
      </c>
      <c r="H14" s="82"/>
      <c r="I14" s="82"/>
      <c r="J14" s="82"/>
      <c r="K14" s="82">
        <f t="shared" ref="K14:K77" si="7">L14+M14</f>
        <v>0</v>
      </c>
      <c r="L14" s="82"/>
      <c r="M14" s="82"/>
      <c r="N14" s="82">
        <f>O14+P14+S14+T14+U14</f>
        <v>146126.40807100001</v>
      </c>
      <c r="O14" s="82">
        <v>1193.7137930000001</v>
      </c>
      <c r="P14" s="83">
        <f>Q14+R14</f>
        <v>144444.69427800001</v>
      </c>
      <c r="Q14" s="82">
        <f>4887.369031+843.243745+5691.7265+6778.87+3363.60898+703.733361+3235.103974+786.635+21176.980855+3285.118+2083.747343+12795.319481+1051.02495+629+17698.562889+10964.759+3912.787817+10759.320824+1729.705+1557.2+3134.343208+3726.59409+10561.64199+13589.29124-12.993-488</f>
        <v>144444.69427800001</v>
      </c>
      <c r="R14" s="83"/>
      <c r="S14" s="82"/>
      <c r="T14" s="82"/>
      <c r="U14" s="82">
        <f t="shared" ref="U14:U35" si="8">V14+W14</f>
        <v>488</v>
      </c>
      <c r="V14" s="82"/>
      <c r="W14" s="82">
        <v>488</v>
      </c>
      <c r="X14" s="82"/>
      <c r="Y14" s="82"/>
      <c r="Z14" s="82"/>
      <c r="AA14" s="82"/>
      <c r="AB14" s="84">
        <f t="shared" si="3"/>
        <v>87.874441079439535</v>
      </c>
      <c r="AC14" s="84">
        <f>O14/D14%</f>
        <v>477.48551720000006</v>
      </c>
      <c r="AD14" s="84">
        <f t="shared" si="4"/>
        <v>86.99391368224525</v>
      </c>
      <c r="AE14" s="84"/>
      <c r="AG14" s="9"/>
      <c r="AH14" s="66"/>
      <c r="AI14" s="9"/>
    </row>
    <row r="15" spans="1:35" s="16" customFormat="1" ht="24.75" customHeight="1" x14ac:dyDescent="0.25">
      <c r="A15" s="85" t="s">
        <v>261</v>
      </c>
      <c r="B15" s="86" t="s">
        <v>262</v>
      </c>
      <c r="C15" s="82">
        <f t="shared" ref="C15:C78" si="9">D15+E15+I15+J15+K15</f>
        <v>77715.236999999994</v>
      </c>
      <c r="D15" s="82">
        <v>816.23699999999997</v>
      </c>
      <c r="E15" s="82">
        <f t="shared" ref="E15:E78" si="10">F15+G15+H15</f>
        <v>76899</v>
      </c>
      <c r="F15" s="82">
        <v>32226</v>
      </c>
      <c r="G15" s="82"/>
      <c r="H15" s="82">
        <f>479+44194</f>
        <v>44673</v>
      </c>
      <c r="I15" s="82"/>
      <c r="J15" s="82"/>
      <c r="K15" s="82">
        <f t="shared" si="7"/>
        <v>0</v>
      </c>
      <c r="L15" s="82"/>
      <c r="M15" s="82"/>
      <c r="N15" s="82">
        <f>O15+P15+S15+T15+U15</f>
        <v>90576.17381600001</v>
      </c>
      <c r="O15" s="82">
        <v>751.81200000000001</v>
      </c>
      <c r="P15" s="83">
        <f t="shared" ref="P15:P78" si="11">Q15+R15</f>
        <v>89824.361816000004</v>
      </c>
      <c r="Q15" s="82">
        <f>259+4843.880669+81611.327559+3110.153588</f>
        <v>89824.361816000004</v>
      </c>
      <c r="R15" s="82"/>
      <c r="S15" s="82"/>
      <c r="T15" s="82"/>
      <c r="U15" s="82">
        <f t="shared" si="8"/>
        <v>0</v>
      </c>
      <c r="V15" s="82"/>
      <c r="W15" s="82"/>
      <c r="X15" s="82"/>
      <c r="Y15" s="82"/>
      <c r="Z15" s="82"/>
      <c r="AA15" s="82"/>
      <c r="AB15" s="84">
        <f t="shared" si="3"/>
        <v>116.54879700875135</v>
      </c>
      <c r="AC15" s="84">
        <f t="shared" si="3"/>
        <v>92.107071843104407</v>
      </c>
      <c r="AD15" s="84">
        <f t="shared" si="4"/>
        <v>116.80823133720855</v>
      </c>
      <c r="AE15" s="84"/>
      <c r="AG15" s="9"/>
      <c r="AH15" s="6"/>
      <c r="AI15" s="9"/>
    </row>
    <row r="16" spans="1:35" s="16" customFormat="1" ht="24.75" customHeight="1" x14ac:dyDescent="0.25">
      <c r="A16" s="80" t="s">
        <v>263</v>
      </c>
      <c r="B16" s="87" t="s">
        <v>264</v>
      </c>
      <c r="C16" s="82">
        <f t="shared" si="9"/>
        <v>5803</v>
      </c>
      <c r="D16" s="82"/>
      <c r="E16" s="82">
        <f t="shared" si="10"/>
        <v>5803</v>
      </c>
      <c r="F16" s="82">
        <v>5803</v>
      </c>
      <c r="G16" s="82"/>
      <c r="H16" s="82"/>
      <c r="I16" s="82"/>
      <c r="J16" s="82"/>
      <c r="K16" s="82">
        <f t="shared" si="7"/>
        <v>0</v>
      </c>
      <c r="L16" s="82"/>
      <c r="M16" s="82"/>
      <c r="N16" s="82">
        <f t="shared" ref="N16:N79" si="12">O16+P16+S16+T16+U16</f>
        <v>5417.5056859999995</v>
      </c>
      <c r="O16" s="82"/>
      <c r="P16" s="83">
        <f t="shared" si="11"/>
        <v>5417.5056859999995</v>
      </c>
      <c r="Q16" s="82">
        <f>5170.267414+247.238272</f>
        <v>5417.5056859999995</v>
      </c>
      <c r="R16" s="83"/>
      <c r="S16" s="82"/>
      <c r="T16" s="82"/>
      <c r="U16" s="82">
        <f t="shared" si="8"/>
        <v>0</v>
      </c>
      <c r="V16" s="82"/>
      <c r="W16" s="82"/>
      <c r="X16" s="82"/>
      <c r="Y16" s="82"/>
      <c r="Z16" s="82"/>
      <c r="AA16" s="82"/>
      <c r="AB16" s="84">
        <f t="shared" si="3"/>
        <v>93.356982353954834</v>
      </c>
      <c r="AC16" s="84"/>
      <c r="AD16" s="84">
        <f t="shared" si="4"/>
        <v>93.356982353954834</v>
      </c>
      <c r="AE16" s="84"/>
      <c r="AG16" s="9"/>
      <c r="AH16" s="6"/>
      <c r="AI16" s="9"/>
    </row>
    <row r="17" spans="1:38" s="16" customFormat="1" ht="24.75" customHeight="1" x14ac:dyDescent="0.25">
      <c r="A17" s="85" t="s">
        <v>265</v>
      </c>
      <c r="B17" s="87" t="s">
        <v>266</v>
      </c>
      <c r="C17" s="82">
        <f t="shared" si="9"/>
        <v>30712.26</v>
      </c>
      <c r="D17" s="88">
        <v>19.260000000000002</v>
      </c>
      <c r="E17" s="82">
        <f t="shared" si="10"/>
        <v>30693</v>
      </c>
      <c r="F17" s="82">
        <v>30693</v>
      </c>
      <c r="G17" s="82"/>
      <c r="H17" s="82"/>
      <c r="I17" s="82"/>
      <c r="J17" s="82"/>
      <c r="K17" s="82">
        <f t="shared" si="7"/>
        <v>0</v>
      </c>
      <c r="L17" s="82"/>
      <c r="M17" s="82"/>
      <c r="N17" s="82">
        <f t="shared" si="12"/>
        <v>83430.323854000002</v>
      </c>
      <c r="O17" s="82">
        <v>1701.2249999999999</v>
      </c>
      <c r="P17" s="83">
        <f t="shared" si="11"/>
        <v>81729.098853999996</v>
      </c>
      <c r="Q17" s="82">
        <f>1435.098+73080.019893+4721.003961+740.2+1752.777</f>
        <v>81729.098853999996</v>
      </c>
      <c r="R17" s="82"/>
      <c r="S17" s="82"/>
      <c r="T17" s="82"/>
      <c r="U17" s="82">
        <f t="shared" si="8"/>
        <v>0</v>
      </c>
      <c r="V17" s="82"/>
      <c r="W17" s="82"/>
      <c r="X17" s="82"/>
      <c r="Y17" s="82"/>
      <c r="Z17" s="82"/>
      <c r="AA17" s="82"/>
      <c r="AB17" s="84">
        <f t="shared" si="3"/>
        <v>271.65152891386049</v>
      </c>
      <c r="AC17" s="84">
        <f t="shared" si="3"/>
        <v>8832.9439252336433</v>
      </c>
      <c r="AD17" s="84">
        <f t="shared" si="4"/>
        <v>266.27927818720877</v>
      </c>
      <c r="AE17" s="84"/>
      <c r="AH17" s="55"/>
    </row>
    <row r="18" spans="1:38" s="16" customFormat="1" ht="24.75" customHeight="1" x14ac:dyDescent="0.25">
      <c r="A18" s="80" t="s">
        <v>267</v>
      </c>
      <c r="B18" s="81" t="s">
        <v>268</v>
      </c>
      <c r="C18" s="82">
        <f t="shared" si="9"/>
        <v>16833</v>
      </c>
      <c r="D18" s="82">
        <v>7611</v>
      </c>
      <c r="E18" s="82">
        <f t="shared" si="10"/>
        <v>9222</v>
      </c>
      <c r="F18" s="82">
        <v>9222</v>
      </c>
      <c r="G18" s="82"/>
      <c r="H18" s="82"/>
      <c r="I18" s="82"/>
      <c r="J18" s="82"/>
      <c r="K18" s="82">
        <f t="shared" si="7"/>
        <v>0</v>
      </c>
      <c r="L18" s="82"/>
      <c r="M18" s="82"/>
      <c r="N18" s="82">
        <f t="shared" si="12"/>
        <v>20992.247212999999</v>
      </c>
      <c r="O18" s="82">
        <v>12054.132412999999</v>
      </c>
      <c r="P18" s="83">
        <f t="shared" si="11"/>
        <v>8938.1147999999994</v>
      </c>
      <c r="Q18" s="83">
        <f>6421.6658+2516.449</f>
        <v>8938.1147999999994</v>
      </c>
      <c r="R18" s="82"/>
      <c r="S18" s="82"/>
      <c r="T18" s="82"/>
      <c r="U18" s="82">
        <f t="shared" si="8"/>
        <v>0</v>
      </c>
      <c r="V18" s="82"/>
      <c r="W18" s="82"/>
      <c r="X18" s="82"/>
      <c r="Y18" s="82"/>
      <c r="Z18" s="82"/>
      <c r="AA18" s="82"/>
      <c r="AB18" s="84">
        <f t="shared" si="3"/>
        <v>124.70888857007068</v>
      </c>
      <c r="AC18" s="84">
        <f t="shared" si="3"/>
        <v>158.37777444488239</v>
      </c>
      <c r="AD18" s="84">
        <f t="shared" si="4"/>
        <v>96.921652569941443</v>
      </c>
      <c r="AE18" s="84"/>
    </row>
    <row r="19" spans="1:38" s="16" customFormat="1" ht="24.75" customHeight="1" x14ac:dyDescent="0.25">
      <c r="A19" s="85" t="s">
        <v>269</v>
      </c>
      <c r="B19" s="87" t="s">
        <v>270</v>
      </c>
      <c r="C19" s="82">
        <f t="shared" si="9"/>
        <v>397187.68200000003</v>
      </c>
      <c r="D19" s="82">
        <v>41445.682000000001</v>
      </c>
      <c r="E19" s="82">
        <f t="shared" si="10"/>
        <v>355742</v>
      </c>
      <c r="F19" s="82">
        <v>349969</v>
      </c>
      <c r="G19" s="82">
        <v>100</v>
      </c>
      <c r="H19" s="82">
        <f>1205+562+3868+38</f>
        <v>5673</v>
      </c>
      <c r="I19" s="82"/>
      <c r="J19" s="82"/>
      <c r="K19" s="82">
        <f t="shared" si="7"/>
        <v>0</v>
      </c>
      <c r="L19" s="82"/>
      <c r="M19" s="82"/>
      <c r="N19" s="82">
        <f t="shared" si="12"/>
        <v>430500.7961080001</v>
      </c>
      <c r="O19" s="82">
        <v>44775.869199999994</v>
      </c>
      <c r="P19" s="83">
        <f t="shared" si="11"/>
        <v>385724.92690800008</v>
      </c>
      <c r="Q19" s="89">
        <f>10942.04+10572.282+5780.957+12177.33275+5776.734+9737.712+10242.058967+96.819+3180.6319+3841.173104+9741.8205+12153.35+4622.072+11707.306199+8139.9885+10799.257049+27200.227856+107857.252164+17121.466397+47093.542+12031.697236+8706.257302+9054.385+7198.397+4433.7795+7591.198484+7925.189</f>
        <v>385724.92690800008</v>
      </c>
      <c r="R19" s="82"/>
      <c r="S19" s="82"/>
      <c r="T19" s="82"/>
      <c r="U19" s="82">
        <f t="shared" si="8"/>
        <v>0</v>
      </c>
      <c r="V19" s="82"/>
      <c r="W19" s="82"/>
      <c r="X19" s="82"/>
      <c r="Y19" s="82"/>
      <c r="Z19" s="82"/>
      <c r="AA19" s="82"/>
      <c r="AB19" s="84">
        <f t="shared" si="3"/>
        <v>108.38724754510389</v>
      </c>
      <c r="AC19" s="84">
        <f t="shared" si="3"/>
        <v>108.03506430416562</v>
      </c>
      <c r="AD19" s="84">
        <f t="shared" si="4"/>
        <v>108.42827861427666</v>
      </c>
      <c r="AE19" s="84"/>
      <c r="AL19" s="55"/>
    </row>
    <row r="20" spans="1:38" s="16" customFormat="1" ht="24.75" customHeight="1" x14ac:dyDescent="0.25">
      <c r="A20" s="80" t="s">
        <v>271</v>
      </c>
      <c r="B20" s="87" t="s">
        <v>272</v>
      </c>
      <c r="C20" s="82">
        <f t="shared" si="9"/>
        <v>343481</v>
      </c>
      <c r="D20" s="82">
        <f>30728+236-1</f>
        <v>30963</v>
      </c>
      <c r="E20" s="82">
        <f t="shared" si="10"/>
        <v>312518</v>
      </c>
      <c r="F20" s="82">
        <v>306306</v>
      </c>
      <c r="G20" s="82">
        <f>1529+4683</f>
        <v>6212</v>
      </c>
      <c r="H20" s="82"/>
      <c r="I20" s="82"/>
      <c r="J20" s="82"/>
      <c r="K20" s="82">
        <f t="shared" si="7"/>
        <v>0</v>
      </c>
      <c r="L20" s="82"/>
      <c r="M20" s="82"/>
      <c r="N20" s="82">
        <f t="shared" si="12"/>
        <v>355196.64174699999</v>
      </c>
      <c r="O20" s="82">
        <v>21207.079999999998</v>
      </c>
      <c r="P20" s="83">
        <f t="shared" si="11"/>
        <v>333989.56174699997</v>
      </c>
      <c r="Q20" s="82">
        <f>105+235544.825497+14902.534291+20432.742614+2622.671+13530.085411+2389.187+13171.844592+8880.91539+2923.854+364.70208+5510.860921+1120+2941.829</f>
        <v>324441.05179599999</v>
      </c>
      <c r="R20" s="82">
        <f>9548.509951</f>
        <v>9548.509951</v>
      </c>
      <c r="S20" s="82"/>
      <c r="T20" s="82"/>
      <c r="U20" s="82">
        <f t="shared" si="8"/>
        <v>0</v>
      </c>
      <c r="V20" s="82"/>
      <c r="W20" s="82"/>
      <c r="X20" s="82"/>
      <c r="Y20" s="82"/>
      <c r="Z20" s="82"/>
      <c r="AA20" s="82"/>
      <c r="AB20" s="84">
        <f t="shared" si="3"/>
        <v>103.41085583976988</v>
      </c>
      <c r="AC20" s="84">
        <f t="shared" si="3"/>
        <v>68.49168362238801</v>
      </c>
      <c r="AD20" s="84">
        <f t="shared" si="4"/>
        <v>106.87050401800856</v>
      </c>
      <c r="AE20" s="84"/>
    </row>
    <row r="21" spans="1:38" s="16" customFormat="1" ht="24.75" customHeight="1" x14ac:dyDescent="0.25">
      <c r="A21" s="85" t="s">
        <v>273</v>
      </c>
      <c r="B21" s="87" t="s">
        <v>522</v>
      </c>
      <c r="C21" s="82">
        <f t="shared" si="9"/>
        <v>66367</v>
      </c>
      <c r="D21" s="82">
        <v>20298</v>
      </c>
      <c r="E21" s="82">
        <f t="shared" si="10"/>
        <v>46069</v>
      </c>
      <c r="F21" s="82">
        <v>46031</v>
      </c>
      <c r="G21" s="82"/>
      <c r="H21" s="82">
        <v>38</v>
      </c>
      <c r="I21" s="82"/>
      <c r="J21" s="82"/>
      <c r="K21" s="82">
        <f t="shared" si="7"/>
        <v>0</v>
      </c>
      <c r="L21" s="82"/>
      <c r="M21" s="82"/>
      <c r="N21" s="82">
        <f t="shared" si="12"/>
        <v>40984.648715000003</v>
      </c>
      <c r="O21" s="82">
        <v>3522.6559999999999</v>
      </c>
      <c r="P21" s="83">
        <f t="shared" si="11"/>
        <v>37461.992715</v>
      </c>
      <c r="Q21" s="82">
        <f>25327.994226+9172.340489+2961.658</f>
        <v>37461.992715</v>
      </c>
      <c r="R21" s="82"/>
      <c r="S21" s="82"/>
      <c r="T21" s="82"/>
      <c r="U21" s="82">
        <f t="shared" si="8"/>
        <v>0</v>
      </c>
      <c r="V21" s="82"/>
      <c r="W21" s="82"/>
      <c r="X21" s="82"/>
      <c r="Y21" s="82"/>
      <c r="Z21" s="82"/>
      <c r="AA21" s="82"/>
      <c r="AB21" s="84">
        <f t="shared" si="3"/>
        <v>61.754559818885902</v>
      </c>
      <c r="AC21" s="84">
        <f t="shared" si="3"/>
        <v>17.354695043846686</v>
      </c>
      <c r="AD21" s="84">
        <f t="shared" si="4"/>
        <v>81.317138889491844</v>
      </c>
      <c r="AE21" s="84"/>
    </row>
    <row r="22" spans="1:38" s="16" customFormat="1" ht="24.75" customHeight="1" x14ac:dyDescent="0.25">
      <c r="A22" s="80" t="s">
        <v>274</v>
      </c>
      <c r="B22" s="87" t="s">
        <v>275</v>
      </c>
      <c r="C22" s="82">
        <f t="shared" si="9"/>
        <v>213246</v>
      </c>
      <c r="D22" s="82">
        <v>1354</v>
      </c>
      <c r="E22" s="82">
        <f t="shared" si="10"/>
        <v>211892</v>
      </c>
      <c r="F22" s="82">
        <v>210821</v>
      </c>
      <c r="G22" s="82"/>
      <c r="H22" s="82">
        <f>131+940</f>
        <v>1071</v>
      </c>
      <c r="I22" s="82"/>
      <c r="J22" s="82"/>
      <c r="K22" s="82">
        <f t="shared" si="7"/>
        <v>0</v>
      </c>
      <c r="L22" s="82"/>
      <c r="M22" s="82"/>
      <c r="N22" s="82">
        <f t="shared" si="12"/>
        <v>22972.895318999999</v>
      </c>
      <c r="O22" s="82">
        <v>1354</v>
      </c>
      <c r="P22" s="83">
        <f t="shared" si="11"/>
        <v>21618.895318999999</v>
      </c>
      <c r="Q22" s="82">
        <f>2154.679513+10017.026284+9447.189522</f>
        <v>21618.895318999999</v>
      </c>
      <c r="R22" s="82"/>
      <c r="S22" s="82"/>
      <c r="T22" s="82"/>
      <c r="U22" s="82">
        <f t="shared" si="8"/>
        <v>0</v>
      </c>
      <c r="V22" s="82"/>
      <c r="W22" s="82"/>
      <c r="X22" s="82"/>
      <c r="Y22" s="82"/>
      <c r="Z22" s="82"/>
      <c r="AA22" s="82"/>
      <c r="AB22" s="84">
        <f t="shared" si="3"/>
        <v>10.772954859176725</v>
      </c>
      <c r="AC22" s="84">
        <f t="shared" si="3"/>
        <v>100</v>
      </c>
      <c r="AD22" s="84">
        <f t="shared" si="4"/>
        <v>10.202789779227153</v>
      </c>
      <c r="AE22" s="84"/>
    </row>
    <row r="23" spans="1:38" s="16" customFormat="1" ht="24.75" customHeight="1" x14ac:dyDescent="0.25">
      <c r="A23" s="85" t="s">
        <v>276</v>
      </c>
      <c r="B23" s="87" t="s">
        <v>277</v>
      </c>
      <c r="C23" s="82">
        <f t="shared" si="9"/>
        <v>9285</v>
      </c>
      <c r="D23" s="82"/>
      <c r="E23" s="82">
        <f t="shared" si="10"/>
        <v>9285</v>
      </c>
      <c r="F23" s="82">
        <v>9247</v>
      </c>
      <c r="G23" s="82"/>
      <c r="H23" s="82">
        <v>38</v>
      </c>
      <c r="I23" s="82"/>
      <c r="J23" s="82"/>
      <c r="K23" s="82">
        <f t="shared" si="7"/>
        <v>0</v>
      </c>
      <c r="L23" s="82"/>
      <c r="M23" s="82"/>
      <c r="N23" s="82">
        <f t="shared" si="12"/>
        <v>7878.4512000000004</v>
      </c>
      <c r="O23" s="82"/>
      <c r="P23" s="83">
        <f t="shared" si="11"/>
        <v>7878.4512000000004</v>
      </c>
      <c r="Q23" s="82">
        <f>1599+5860.4512+419</f>
        <v>7878.4512000000004</v>
      </c>
      <c r="R23" s="82"/>
      <c r="S23" s="82"/>
      <c r="T23" s="82"/>
      <c r="U23" s="82">
        <f t="shared" si="8"/>
        <v>0</v>
      </c>
      <c r="V23" s="82"/>
      <c r="W23" s="82"/>
      <c r="X23" s="82"/>
      <c r="Y23" s="82"/>
      <c r="Z23" s="82"/>
      <c r="AA23" s="82"/>
      <c r="AB23" s="84">
        <f t="shared" si="3"/>
        <v>84.851386106623593</v>
      </c>
      <c r="AC23" s="84"/>
      <c r="AD23" s="84">
        <f t="shared" si="4"/>
        <v>84.851386106623593</v>
      </c>
      <c r="AE23" s="84"/>
    </row>
    <row r="24" spans="1:38" s="16" customFormat="1" ht="34.5" customHeight="1" x14ac:dyDescent="0.25">
      <c r="A24" s="80" t="s">
        <v>278</v>
      </c>
      <c r="B24" s="87" t="s">
        <v>279</v>
      </c>
      <c r="C24" s="82">
        <f t="shared" si="9"/>
        <v>106853</v>
      </c>
      <c r="D24" s="82">
        <v>40650</v>
      </c>
      <c r="E24" s="82">
        <f t="shared" si="10"/>
        <v>66203</v>
      </c>
      <c r="F24" s="82">
        <v>66158</v>
      </c>
      <c r="G24" s="82"/>
      <c r="H24" s="82">
        <v>45</v>
      </c>
      <c r="I24" s="82"/>
      <c r="J24" s="82"/>
      <c r="K24" s="82">
        <f t="shared" si="7"/>
        <v>0</v>
      </c>
      <c r="L24" s="82"/>
      <c r="M24" s="82"/>
      <c r="N24" s="82">
        <f t="shared" si="12"/>
        <v>67884.233311999997</v>
      </c>
      <c r="O24" s="82">
        <f>2968.613+500</f>
        <v>3468.6129999999998</v>
      </c>
      <c r="P24" s="83">
        <f t="shared" si="11"/>
        <v>64415.620311999999</v>
      </c>
      <c r="Q24" s="82"/>
      <c r="R24" s="82">
        <v>64415.620311999999</v>
      </c>
      <c r="S24" s="82"/>
      <c r="T24" s="82"/>
      <c r="U24" s="82">
        <f t="shared" si="8"/>
        <v>0</v>
      </c>
      <c r="V24" s="82"/>
      <c r="W24" s="82"/>
      <c r="X24" s="82"/>
      <c r="Y24" s="82"/>
      <c r="Z24" s="82"/>
      <c r="AA24" s="82"/>
      <c r="AB24" s="84">
        <f t="shared" si="3"/>
        <v>63.530488907190254</v>
      </c>
      <c r="AC24" s="84">
        <f t="shared" si="3"/>
        <v>8.5328733087330875</v>
      </c>
      <c r="AD24" s="84">
        <f t="shared" si="4"/>
        <v>97.300153032339921</v>
      </c>
      <c r="AE24" s="84"/>
    </row>
    <row r="25" spans="1:38" s="16" customFormat="1" ht="24.75" customHeight="1" x14ac:dyDescent="0.25">
      <c r="A25" s="85" t="s">
        <v>280</v>
      </c>
      <c r="B25" s="87" t="s">
        <v>281</v>
      </c>
      <c r="C25" s="82">
        <f t="shared" si="9"/>
        <v>32352</v>
      </c>
      <c r="D25" s="82">
        <v>12500</v>
      </c>
      <c r="E25" s="82">
        <f t="shared" si="10"/>
        <v>19852</v>
      </c>
      <c r="F25" s="82">
        <v>19352</v>
      </c>
      <c r="G25" s="82"/>
      <c r="H25" s="82">
        <v>500</v>
      </c>
      <c r="I25" s="82"/>
      <c r="J25" s="82"/>
      <c r="K25" s="82">
        <f t="shared" si="7"/>
        <v>0</v>
      </c>
      <c r="L25" s="82"/>
      <c r="M25" s="82"/>
      <c r="N25" s="82">
        <f t="shared" si="12"/>
        <v>29425.206241</v>
      </c>
      <c r="O25" s="82">
        <v>17646.610184000001</v>
      </c>
      <c r="P25" s="83">
        <f t="shared" si="11"/>
        <v>11778.596057000001</v>
      </c>
      <c r="Q25" s="82">
        <f>9519.878105+285.200455+1973.517497</f>
        <v>11778.596057000001</v>
      </c>
      <c r="R25" s="82"/>
      <c r="S25" s="82"/>
      <c r="T25" s="82"/>
      <c r="U25" s="82">
        <f t="shared" si="8"/>
        <v>0</v>
      </c>
      <c r="V25" s="82"/>
      <c r="W25" s="82"/>
      <c r="X25" s="82"/>
      <c r="Y25" s="82"/>
      <c r="Z25" s="82"/>
      <c r="AA25" s="82"/>
      <c r="AB25" s="84">
        <f t="shared" si="3"/>
        <v>90.953283385880326</v>
      </c>
      <c r="AC25" s="84">
        <f t="shared" si="3"/>
        <v>141.172881472</v>
      </c>
      <c r="AD25" s="84">
        <f t="shared" si="4"/>
        <v>59.332037361474917</v>
      </c>
      <c r="AE25" s="84"/>
    </row>
    <row r="26" spans="1:38" s="16" customFormat="1" ht="24.75" customHeight="1" x14ac:dyDescent="0.25">
      <c r="A26" s="80" t="s">
        <v>282</v>
      </c>
      <c r="B26" s="87" t="s">
        <v>283</v>
      </c>
      <c r="C26" s="82">
        <f t="shared" si="9"/>
        <v>14280</v>
      </c>
      <c r="D26" s="82">
        <v>2950</v>
      </c>
      <c r="E26" s="82">
        <f t="shared" si="10"/>
        <v>11330</v>
      </c>
      <c r="F26" s="82">
        <v>11204</v>
      </c>
      <c r="G26" s="82"/>
      <c r="H26" s="82">
        <v>126</v>
      </c>
      <c r="I26" s="82"/>
      <c r="J26" s="82"/>
      <c r="K26" s="82">
        <f t="shared" si="7"/>
        <v>0</v>
      </c>
      <c r="L26" s="82"/>
      <c r="M26" s="82"/>
      <c r="N26" s="82">
        <f t="shared" si="12"/>
        <v>13643.786592</v>
      </c>
      <c r="O26" s="82">
        <v>2824.129148</v>
      </c>
      <c r="P26" s="83">
        <f t="shared" si="11"/>
        <v>10819.657444</v>
      </c>
      <c r="Q26" s="82">
        <f>2786.214444+7089.443+216+296+432</f>
        <v>10819.657444</v>
      </c>
      <c r="R26" s="82"/>
      <c r="S26" s="82"/>
      <c r="T26" s="82"/>
      <c r="U26" s="82">
        <f t="shared" si="8"/>
        <v>0</v>
      </c>
      <c r="V26" s="82"/>
      <c r="W26" s="82"/>
      <c r="X26" s="82"/>
      <c r="Y26" s="82"/>
      <c r="Z26" s="82"/>
      <c r="AA26" s="82"/>
      <c r="AB26" s="84">
        <f t="shared" si="3"/>
        <v>95.544724033613434</v>
      </c>
      <c r="AC26" s="84">
        <f t="shared" si="3"/>
        <v>95.733191457627115</v>
      </c>
      <c r="AD26" s="84">
        <f t="shared" si="4"/>
        <v>95.495652639011482</v>
      </c>
      <c r="AE26" s="84"/>
    </row>
    <row r="27" spans="1:38" s="16" customFormat="1" ht="24.75" customHeight="1" x14ac:dyDescent="0.25">
      <c r="A27" s="85" t="s">
        <v>284</v>
      </c>
      <c r="B27" s="87" t="s">
        <v>285</v>
      </c>
      <c r="C27" s="82">
        <f t="shared" si="9"/>
        <v>12784</v>
      </c>
      <c r="D27" s="82"/>
      <c r="E27" s="82">
        <f t="shared" si="10"/>
        <v>12784</v>
      </c>
      <c r="F27" s="82">
        <v>12746</v>
      </c>
      <c r="G27" s="82"/>
      <c r="H27" s="82">
        <v>38</v>
      </c>
      <c r="I27" s="82"/>
      <c r="J27" s="82"/>
      <c r="K27" s="82">
        <f t="shared" si="7"/>
        <v>0</v>
      </c>
      <c r="L27" s="82"/>
      <c r="M27" s="82"/>
      <c r="N27" s="82">
        <f t="shared" si="12"/>
        <v>12017.171110000001</v>
      </c>
      <c r="O27" s="82"/>
      <c r="P27" s="83">
        <f t="shared" si="11"/>
        <v>12017.171110000001</v>
      </c>
      <c r="Q27" s="82">
        <f>11351.365013+665.806097</f>
        <v>12017.171110000001</v>
      </c>
      <c r="R27" s="82"/>
      <c r="S27" s="82"/>
      <c r="T27" s="82"/>
      <c r="U27" s="82">
        <f t="shared" si="8"/>
        <v>0</v>
      </c>
      <c r="V27" s="82"/>
      <c r="W27" s="82"/>
      <c r="X27" s="82"/>
      <c r="Y27" s="82"/>
      <c r="Z27" s="82"/>
      <c r="AA27" s="82"/>
      <c r="AB27" s="84">
        <f t="shared" ref="AB27:AC90" si="13">N27/C27%</f>
        <v>94.001651361076355</v>
      </c>
      <c r="AC27" s="84"/>
      <c r="AD27" s="84">
        <f t="shared" si="4"/>
        <v>94.001651361076355</v>
      </c>
      <c r="AE27" s="84"/>
    </row>
    <row r="28" spans="1:38" s="16" customFormat="1" ht="24.75" customHeight="1" x14ac:dyDescent="0.25">
      <c r="A28" s="80" t="s">
        <v>286</v>
      </c>
      <c r="B28" s="87" t="s">
        <v>287</v>
      </c>
      <c r="C28" s="82">
        <f t="shared" si="9"/>
        <v>169536.39600000001</v>
      </c>
      <c r="D28" s="82">
        <f>154584.396+57</f>
        <v>154641.39600000001</v>
      </c>
      <c r="E28" s="82">
        <f t="shared" si="10"/>
        <v>14895</v>
      </c>
      <c r="F28" s="82">
        <v>14895</v>
      </c>
      <c r="G28" s="82"/>
      <c r="H28" s="82"/>
      <c r="I28" s="82"/>
      <c r="J28" s="82"/>
      <c r="K28" s="82">
        <f t="shared" si="7"/>
        <v>0</v>
      </c>
      <c r="L28" s="82"/>
      <c r="M28" s="82"/>
      <c r="N28" s="82">
        <f t="shared" si="12"/>
        <v>257672.10697399999</v>
      </c>
      <c r="O28" s="82">
        <f>243499.554982+1166</f>
        <v>244665.554982</v>
      </c>
      <c r="P28" s="83">
        <f t="shared" si="11"/>
        <v>13006.551992000001</v>
      </c>
      <c r="Q28" s="82">
        <f>10389.908727+1281.794+1334.849265</f>
        <v>13006.551992000001</v>
      </c>
      <c r="R28" s="82"/>
      <c r="S28" s="82"/>
      <c r="T28" s="82"/>
      <c r="U28" s="82">
        <f t="shared" si="8"/>
        <v>0</v>
      </c>
      <c r="V28" s="82"/>
      <c r="W28" s="82"/>
      <c r="X28" s="82"/>
      <c r="Y28" s="82"/>
      <c r="Z28" s="82"/>
      <c r="AA28" s="82"/>
      <c r="AB28" s="84">
        <f t="shared" si="13"/>
        <v>151.98630680694663</v>
      </c>
      <c r="AC28" s="84">
        <f t="shared" si="13"/>
        <v>158.21478679744976</v>
      </c>
      <c r="AD28" s="84">
        <f t="shared" si="4"/>
        <v>87.32159779791877</v>
      </c>
      <c r="AE28" s="84"/>
    </row>
    <row r="29" spans="1:38" s="16" customFormat="1" ht="24.75" customHeight="1" x14ac:dyDescent="0.25">
      <c r="A29" s="85" t="s">
        <v>288</v>
      </c>
      <c r="B29" s="87" t="s">
        <v>289</v>
      </c>
      <c r="C29" s="82">
        <f t="shared" si="9"/>
        <v>15365</v>
      </c>
      <c r="D29" s="82">
        <v>50</v>
      </c>
      <c r="E29" s="82">
        <f t="shared" si="10"/>
        <v>15315</v>
      </c>
      <c r="F29" s="82">
        <v>15315</v>
      </c>
      <c r="G29" s="82"/>
      <c r="H29" s="82"/>
      <c r="I29" s="82"/>
      <c r="J29" s="82"/>
      <c r="K29" s="82">
        <f t="shared" si="7"/>
        <v>0</v>
      </c>
      <c r="L29" s="82"/>
      <c r="M29" s="82"/>
      <c r="N29" s="82">
        <f t="shared" si="12"/>
        <v>22000.403539999999</v>
      </c>
      <c r="O29" s="82"/>
      <c r="P29" s="83">
        <f t="shared" si="11"/>
        <v>22000.403539999999</v>
      </c>
      <c r="Q29" s="83">
        <f>17483.887133+330.728539+1573.499158+2612.28871</f>
        <v>22000.403539999999</v>
      </c>
      <c r="R29" s="82"/>
      <c r="S29" s="82"/>
      <c r="T29" s="82"/>
      <c r="U29" s="82">
        <f t="shared" si="8"/>
        <v>0</v>
      </c>
      <c r="V29" s="82"/>
      <c r="W29" s="82"/>
      <c r="X29" s="82"/>
      <c r="Y29" s="82"/>
      <c r="Z29" s="82"/>
      <c r="AA29" s="82"/>
      <c r="AB29" s="84">
        <f t="shared" si="13"/>
        <v>143.18518411975268</v>
      </c>
      <c r="AC29" s="84">
        <f t="shared" si="13"/>
        <v>0</v>
      </c>
      <c r="AD29" s="84">
        <f t="shared" si="4"/>
        <v>143.65265125693765</v>
      </c>
      <c r="AE29" s="84"/>
    </row>
    <row r="30" spans="1:38" s="16" customFormat="1" ht="24.75" customHeight="1" x14ac:dyDescent="0.25">
      <c r="A30" s="80" t="s">
        <v>290</v>
      </c>
      <c r="B30" s="87" t="s">
        <v>291</v>
      </c>
      <c r="C30" s="82">
        <f t="shared" si="9"/>
        <v>18163</v>
      </c>
      <c r="D30" s="82">
        <v>1200</v>
      </c>
      <c r="E30" s="82">
        <f t="shared" si="10"/>
        <v>16963</v>
      </c>
      <c r="F30" s="82">
        <v>16918</v>
      </c>
      <c r="G30" s="82"/>
      <c r="H30" s="82">
        <v>45</v>
      </c>
      <c r="I30" s="82"/>
      <c r="J30" s="82"/>
      <c r="K30" s="82">
        <f t="shared" si="7"/>
        <v>0</v>
      </c>
      <c r="L30" s="82"/>
      <c r="M30" s="82"/>
      <c r="N30" s="82">
        <f t="shared" si="12"/>
        <v>18943.23</v>
      </c>
      <c r="O30" s="82">
        <v>1933.806</v>
      </c>
      <c r="P30" s="83">
        <f t="shared" si="11"/>
        <v>17009.423999999999</v>
      </c>
      <c r="Q30" s="82">
        <f>17009.424</f>
        <v>17009.423999999999</v>
      </c>
      <c r="R30" s="82"/>
      <c r="S30" s="82"/>
      <c r="T30" s="82"/>
      <c r="U30" s="82">
        <f t="shared" si="8"/>
        <v>0</v>
      </c>
      <c r="V30" s="82"/>
      <c r="W30" s="82"/>
      <c r="X30" s="82"/>
      <c r="Y30" s="82"/>
      <c r="Z30" s="82"/>
      <c r="AA30" s="82"/>
      <c r="AB30" s="84">
        <f t="shared" si="13"/>
        <v>104.29571106094808</v>
      </c>
      <c r="AC30" s="84">
        <f t="shared" si="13"/>
        <v>161.15049999999999</v>
      </c>
      <c r="AD30" s="84">
        <f t="shared" si="4"/>
        <v>100.27367800506985</v>
      </c>
      <c r="AE30" s="84"/>
    </row>
    <row r="31" spans="1:38" s="16" customFormat="1" ht="24.75" customHeight="1" x14ac:dyDescent="0.25">
      <c r="A31" s="85" t="s">
        <v>292</v>
      </c>
      <c r="B31" s="87" t="s">
        <v>131</v>
      </c>
      <c r="C31" s="82">
        <f t="shared" si="9"/>
        <v>6540</v>
      </c>
      <c r="D31" s="82"/>
      <c r="E31" s="82">
        <f t="shared" si="10"/>
        <v>6540</v>
      </c>
      <c r="F31" s="82">
        <v>5915</v>
      </c>
      <c r="G31" s="82"/>
      <c r="H31" s="82">
        <f>196+429</f>
        <v>625</v>
      </c>
      <c r="I31" s="82"/>
      <c r="J31" s="82"/>
      <c r="K31" s="82">
        <f t="shared" si="7"/>
        <v>0</v>
      </c>
      <c r="L31" s="82"/>
      <c r="M31" s="82"/>
      <c r="N31" s="82">
        <f t="shared" si="12"/>
        <v>90204.507664999997</v>
      </c>
      <c r="O31" s="82">
        <v>84143.342665000004</v>
      </c>
      <c r="P31" s="83">
        <f t="shared" si="11"/>
        <v>6061.165</v>
      </c>
      <c r="Q31" s="82">
        <v>6061.165</v>
      </c>
      <c r="R31" s="82"/>
      <c r="S31" s="82"/>
      <c r="T31" s="82"/>
      <c r="U31" s="82">
        <f t="shared" si="8"/>
        <v>0</v>
      </c>
      <c r="V31" s="82"/>
      <c r="W31" s="82"/>
      <c r="X31" s="82"/>
      <c r="Y31" s="82"/>
      <c r="Z31" s="82"/>
      <c r="AA31" s="82"/>
      <c r="AB31" s="84">
        <f t="shared" si="13"/>
        <v>1379.2738175076452</v>
      </c>
      <c r="AC31" s="84"/>
      <c r="AD31" s="84">
        <f t="shared" si="4"/>
        <v>92.67836391437308</v>
      </c>
      <c r="AE31" s="84"/>
    </row>
    <row r="32" spans="1:38" s="16" customFormat="1" ht="24.75" customHeight="1" x14ac:dyDescent="0.25">
      <c r="A32" s="80" t="s">
        <v>293</v>
      </c>
      <c r="B32" s="87" t="s">
        <v>294</v>
      </c>
      <c r="C32" s="82">
        <f t="shared" si="9"/>
        <v>8351</v>
      </c>
      <c r="D32" s="82"/>
      <c r="E32" s="82">
        <f t="shared" si="10"/>
        <v>8351</v>
      </c>
      <c r="F32" s="82">
        <v>8351</v>
      </c>
      <c r="G32" s="82"/>
      <c r="H32" s="82"/>
      <c r="I32" s="82"/>
      <c r="J32" s="82"/>
      <c r="K32" s="82">
        <f t="shared" si="7"/>
        <v>0</v>
      </c>
      <c r="L32" s="82"/>
      <c r="M32" s="82"/>
      <c r="N32" s="82">
        <f t="shared" si="12"/>
        <v>7175.5634520000003</v>
      </c>
      <c r="O32" s="82"/>
      <c r="P32" s="83">
        <f t="shared" si="11"/>
        <v>7175.5634520000003</v>
      </c>
      <c r="Q32" s="82">
        <f>5043.4602+2132.103252</f>
        <v>7175.5634520000003</v>
      </c>
      <c r="R32" s="82"/>
      <c r="S32" s="82"/>
      <c r="T32" s="82"/>
      <c r="U32" s="82">
        <f t="shared" si="8"/>
        <v>0</v>
      </c>
      <c r="V32" s="82"/>
      <c r="W32" s="82"/>
      <c r="X32" s="82"/>
      <c r="Y32" s="82"/>
      <c r="Z32" s="82"/>
      <c r="AA32" s="82"/>
      <c r="AB32" s="84">
        <f t="shared" si="13"/>
        <v>85.924601269309065</v>
      </c>
      <c r="AC32" s="84"/>
      <c r="AD32" s="84">
        <f t="shared" si="4"/>
        <v>85.924601269309065</v>
      </c>
      <c r="AE32" s="84"/>
    </row>
    <row r="33" spans="1:31" s="16" customFormat="1" ht="24.75" customHeight="1" x14ac:dyDescent="0.25">
      <c r="A33" s="85" t="s">
        <v>295</v>
      </c>
      <c r="B33" s="87" t="s">
        <v>523</v>
      </c>
      <c r="C33" s="82">
        <f t="shared" si="9"/>
        <v>7272</v>
      </c>
      <c r="D33" s="82"/>
      <c r="E33" s="82">
        <f t="shared" si="10"/>
        <v>7272</v>
      </c>
      <c r="F33" s="82">
        <v>7272</v>
      </c>
      <c r="G33" s="82"/>
      <c r="H33" s="82"/>
      <c r="I33" s="82"/>
      <c r="J33" s="82"/>
      <c r="K33" s="82">
        <f t="shared" si="7"/>
        <v>0</v>
      </c>
      <c r="L33" s="82"/>
      <c r="M33" s="82"/>
      <c r="N33" s="82">
        <f t="shared" si="12"/>
        <v>7656.1</v>
      </c>
      <c r="O33" s="82"/>
      <c r="P33" s="83">
        <f t="shared" si="11"/>
        <v>7656.1</v>
      </c>
      <c r="Q33" s="82">
        <v>7656.1</v>
      </c>
      <c r="R33" s="82"/>
      <c r="S33" s="82"/>
      <c r="T33" s="82"/>
      <c r="U33" s="82">
        <f t="shared" si="8"/>
        <v>0</v>
      </c>
      <c r="V33" s="82"/>
      <c r="W33" s="82"/>
      <c r="X33" s="82"/>
      <c r="Y33" s="82"/>
      <c r="Z33" s="82"/>
      <c r="AA33" s="82"/>
      <c r="AB33" s="84">
        <f t="shared" si="13"/>
        <v>105.28190319031904</v>
      </c>
      <c r="AC33" s="84"/>
      <c r="AD33" s="84">
        <f t="shared" si="4"/>
        <v>105.28190319031904</v>
      </c>
      <c r="AE33" s="84"/>
    </row>
    <row r="34" spans="1:31" s="16" customFormat="1" ht="24.75" customHeight="1" x14ac:dyDescent="0.25">
      <c r="A34" s="80" t="s">
        <v>296</v>
      </c>
      <c r="B34" s="87" t="s">
        <v>297</v>
      </c>
      <c r="C34" s="82">
        <f t="shared" si="9"/>
        <v>14115</v>
      </c>
      <c r="D34" s="82"/>
      <c r="E34" s="82">
        <f t="shared" si="10"/>
        <v>14115</v>
      </c>
      <c r="F34" s="82">
        <f>13815+300</f>
        <v>14115</v>
      </c>
      <c r="G34" s="82"/>
      <c r="H34" s="82"/>
      <c r="I34" s="82"/>
      <c r="J34" s="82"/>
      <c r="K34" s="82">
        <f t="shared" si="7"/>
        <v>0</v>
      </c>
      <c r="L34" s="82"/>
      <c r="M34" s="82"/>
      <c r="N34" s="82">
        <f t="shared" si="12"/>
        <v>15333.475177999999</v>
      </c>
      <c r="O34" s="82">
        <v>114.497</v>
      </c>
      <c r="P34" s="83">
        <f t="shared" si="11"/>
        <v>15218.978177999999</v>
      </c>
      <c r="Q34" s="82">
        <v>15218.978177999999</v>
      </c>
      <c r="R34" s="82"/>
      <c r="S34" s="82"/>
      <c r="T34" s="82"/>
      <c r="U34" s="82">
        <f t="shared" si="8"/>
        <v>0</v>
      </c>
      <c r="V34" s="82"/>
      <c r="W34" s="82"/>
      <c r="X34" s="82"/>
      <c r="Y34" s="82"/>
      <c r="Z34" s="82"/>
      <c r="AA34" s="82"/>
      <c r="AB34" s="84">
        <f t="shared" si="13"/>
        <v>108.63248443499822</v>
      </c>
      <c r="AC34" s="84"/>
      <c r="AD34" s="84">
        <f t="shared" si="4"/>
        <v>107.82131192348564</v>
      </c>
      <c r="AE34" s="84"/>
    </row>
    <row r="35" spans="1:31" s="16" customFormat="1" ht="24.75" customHeight="1" x14ac:dyDescent="0.25">
      <c r="A35" s="85" t="s">
        <v>298</v>
      </c>
      <c r="B35" s="87" t="s">
        <v>524</v>
      </c>
      <c r="C35" s="82">
        <f t="shared" si="9"/>
        <v>4814</v>
      </c>
      <c r="D35" s="82"/>
      <c r="E35" s="82">
        <f t="shared" si="10"/>
        <v>4814</v>
      </c>
      <c r="F35" s="82">
        <v>4814</v>
      </c>
      <c r="G35" s="82"/>
      <c r="H35" s="82"/>
      <c r="I35" s="82"/>
      <c r="J35" s="82"/>
      <c r="K35" s="82">
        <f t="shared" si="7"/>
        <v>0</v>
      </c>
      <c r="L35" s="82"/>
      <c r="M35" s="82"/>
      <c r="N35" s="82">
        <f t="shared" si="12"/>
        <v>4474.28</v>
      </c>
      <c r="O35" s="82"/>
      <c r="P35" s="83">
        <f t="shared" si="11"/>
        <v>4474.28</v>
      </c>
      <c r="Q35" s="82">
        <v>4474.28</v>
      </c>
      <c r="R35" s="82"/>
      <c r="S35" s="82"/>
      <c r="T35" s="82"/>
      <c r="U35" s="82">
        <f t="shared" si="8"/>
        <v>0</v>
      </c>
      <c r="V35" s="82"/>
      <c r="W35" s="82"/>
      <c r="X35" s="82"/>
      <c r="Y35" s="82"/>
      <c r="Z35" s="82"/>
      <c r="AA35" s="82"/>
      <c r="AB35" s="84">
        <f t="shared" si="13"/>
        <v>92.943082675529695</v>
      </c>
      <c r="AC35" s="84"/>
      <c r="AD35" s="84">
        <f t="shared" si="4"/>
        <v>92.943082675529695</v>
      </c>
      <c r="AE35" s="84"/>
    </row>
    <row r="36" spans="1:31" s="16" customFormat="1" ht="24.75" customHeight="1" x14ac:dyDescent="0.25">
      <c r="A36" s="80" t="s">
        <v>299</v>
      </c>
      <c r="B36" s="87" t="s">
        <v>300</v>
      </c>
      <c r="C36" s="82">
        <f t="shared" si="9"/>
        <v>317719</v>
      </c>
      <c r="D36" s="82">
        <v>305530</v>
      </c>
      <c r="E36" s="82">
        <f t="shared" si="10"/>
        <v>12189</v>
      </c>
      <c r="F36" s="82">
        <v>12189</v>
      </c>
      <c r="G36" s="82"/>
      <c r="H36" s="82"/>
      <c r="I36" s="82"/>
      <c r="J36" s="82"/>
      <c r="K36" s="82">
        <f t="shared" si="7"/>
        <v>0</v>
      </c>
      <c r="L36" s="82"/>
      <c r="M36" s="82"/>
      <c r="N36" s="82">
        <f t="shared" si="12"/>
        <v>121327.26835</v>
      </c>
      <c r="O36" s="82">
        <v>110820.520492</v>
      </c>
      <c r="P36" s="83">
        <f t="shared" si="11"/>
        <v>10506.747857999999</v>
      </c>
      <c r="Q36" s="82">
        <f>8364.201038+2142.54682</f>
        <v>10506.747857999999</v>
      </c>
      <c r="R36" s="82"/>
      <c r="S36" s="82"/>
      <c r="T36" s="82"/>
      <c r="U36" s="82"/>
      <c r="V36" s="82"/>
      <c r="W36" s="82"/>
      <c r="X36" s="82"/>
      <c r="Y36" s="82"/>
      <c r="Z36" s="82"/>
      <c r="AA36" s="82"/>
      <c r="AB36" s="84">
        <f t="shared" si="13"/>
        <v>38.186972875402475</v>
      </c>
      <c r="AC36" s="84">
        <f t="shared" si="13"/>
        <v>36.271567601217555</v>
      </c>
      <c r="AD36" s="84">
        <f t="shared" si="4"/>
        <v>86.198604134875694</v>
      </c>
      <c r="AE36" s="84"/>
    </row>
    <row r="37" spans="1:31" s="16" customFormat="1" ht="24.75" customHeight="1" x14ac:dyDescent="0.25">
      <c r="A37" s="85" t="s">
        <v>301</v>
      </c>
      <c r="B37" s="87" t="s">
        <v>302</v>
      </c>
      <c r="C37" s="82">
        <f t="shared" si="9"/>
        <v>9876</v>
      </c>
      <c r="D37" s="82"/>
      <c r="E37" s="82">
        <f t="shared" si="10"/>
        <v>9876</v>
      </c>
      <c r="F37" s="82">
        <v>9876</v>
      </c>
      <c r="G37" s="82"/>
      <c r="H37" s="82"/>
      <c r="I37" s="82"/>
      <c r="J37" s="82"/>
      <c r="K37" s="82">
        <f t="shared" si="7"/>
        <v>0</v>
      </c>
      <c r="L37" s="82"/>
      <c r="M37" s="82"/>
      <c r="N37" s="82">
        <f t="shared" si="12"/>
        <v>13320.503273</v>
      </c>
      <c r="O37" s="82">
        <v>2488.8739999999998</v>
      </c>
      <c r="P37" s="83">
        <f t="shared" si="11"/>
        <v>10831.629273</v>
      </c>
      <c r="Q37" s="82">
        <v>10831.629273</v>
      </c>
      <c r="R37" s="82"/>
      <c r="S37" s="82"/>
      <c r="T37" s="82"/>
      <c r="U37" s="82">
        <f>V37+W37</f>
        <v>0</v>
      </c>
      <c r="V37" s="82"/>
      <c r="W37" s="82"/>
      <c r="X37" s="82"/>
      <c r="Y37" s="82"/>
      <c r="Z37" s="82"/>
      <c r="AA37" s="82"/>
      <c r="AB37" s="84">
        <f t="shared" si="13"/>
        <v>134.87751390238964</v>
      </c>
      <c r="AC37" s="84"/>
      <c r="AD37" s="84">
        <f t="shared" si="4"/>
        <v>109.67627858444715</v>
      </c>
      <c r="AE37" s="84"/>
    </row>
    <row r="38" spans="1:31" s="16" customFormat="1" ht="24.75" customHeight="1" x14ac:dyDescent="0.25">
      <c r="A38" s="80" t="s">
        <v>303</v>
      </c>
      <c r="B38" s="87" t="s">
        <v>304</v>
      </c>
      <c r="C38" s="82">
        <f t="shared" si="9"/>
        <v>29340</v>
      </c>
      <c r="D38" s="82">
        <v>250</v>
      </c>
      <c r="E38" s="82">
        <f t="shared" si="10"/>
        <v>29090</v>
      </c>
      <c r="F38" s="82">
        <v>29090</v>
      </c>
      <c r="G38" s="82"/>
      <c r="H38" s="82"/>
      <c r="I38" s="82"/>
      <c r="J38" s="82"/>
      <c r="K38" s="82">
        <f t="shared" si="7"/>
        <v>0</v>
      </c>
      <c r="L38" s="82"/>
      <c r="M38" s="82"/>
      <c r="N38" s="82">
        <f t="shared" si="12"/>
        <v>27409.481526</v>
      </c>
      <c r="O38" s="82">
        <v>981.59288500000014</v>
      </c>
      <c r="P38" s="83">
        <f t="shared" si="11"/>
        <v>26427.888640999998</v>
      </c>
      <c r="Q38" s="82">
        <f>22051.622743+4376.265898</f>
        <v>26427.888640999998</v>
      </c>
      <c r="R38" s="82"/>
      <c r="S38" s="82"/>
      <c r="T38" s="82"/>
      <c r="U38" s="82">
        <f>V38+W38</f>
        <v>0</v>
      </c>
      <c r="V38" s="82"/>
      <c r="W38" s="82"/>
      <c r="X38" s="82"/>
      <c r="Y38" s="82"/>
      <c r="Z38" s="82"/>
      <c r="AA38" s="82"/>
      <c r="AB38" s="84">
        <f t="shared" si="13"/>
        <v>93.420182433537832</v>
      </c>
      <c r="AC38" s="84">
        <f t="shared" si="13"/>
        <v>392.63715400000007</v>
      </c>
      <c r="AD38" s="84">
        <f t="shared" si="4"/>
        <v>90.848706225507044</v>
      </c>
      <c r="AE38" s="84"/>
    </row>
    <row r="39" spans="1:31" s="16" customFormat="1" ht="24.75" customHeight="1" x14ac:dyDescent="0.25">
      <c r="A39" s="85" t="s">
        <v>305</v>
      </c>
      <c r="B39" s="87" t="s">
        <v>306</v>
      </c>
      <c r="C39" s="82">
        <f t="shared" si="9"/>
        <v>2581</v>
      </c>
      <c r="D39" s="82"/>
      <c r="E39" s="82">
        <f t="shared" si="10"/>
        <v>2581</v>
      </c>
      <c r="F39" s="82">
        <v>2581</v>
      </c>
      <c r="G39" s="82"/>
      <c r="H39" s="82"/>
      <c r="I39" s="82"/>
      <c r="J39" s="82"/>
      <c r="K39" s="82">
        <f t="shared" si="7"/>
        <v>0</v>
      </c>
      <c r="L39" s="82"/>
      <c r="M39" s="82"/>
      <c r="N39" s="82">
        <f t="shared" si="12"/>
        <v>2374.2112120000002</v>
      </c>
      <c r="O39" s="82"/>
      <c r="P39" s="83">
        <f t="shared" si="11"/>
        <v>2374.2112120000002</v>
      </c>
      <c r="Q39" s="82">
        <v>2374.2112120000002</v>
      </c>
      <c r="R39" s="82"/>
      <c r="S39" s="82"/>
      <c r="T39" s="82"/>
      <c r="U39" s="82">
        <f>V39+W39</f>
        <v>0</v>
      </c>
      <c r="V39" s="82"/>
      <c r="W39" s="82"/>
      <c r="X39" s="82"/>
      <c r="Y39" s="82"/>
      <c r="Z39" s="82"/>
      <c r="AA39" s="82"/>
      <c r="AB39" s="84">
        <f t="shared" si="13"/>
        <v>91.988036110034884</v>
      </c>
      <c r="AC39" s="84"/>
      <c r="AD39" s="84">
        <f t="shared" si="4"/>
        <v>91.988036110034884</v>
      </c>
      <c r="AE39" s="84"/>
    </row>
    <row r="40" spans="1:31" s="16" customFormat="1" ht="24.75" customHeight="1" x14ac:dyDescent="0.25">
      <c r="A40" s="80" t="s">
        <v>307</v>
      </c>
      <c r="B40" s="87" t="s">
        <v>308</v>
      </c>
      <c r="C40" s="82">
        <f t="shared" si="9"/>
        <v>4505</v>
      </c>
      <c r="D40" s="82"/>
      <c r="E40" s="82">
        <f t="shared" si="10"/>
        <v>4505</v>
      </c>
      <c r="F40" s="82">
        <v>4505</v>
      </c>
      <c r="G40" s="82"/>
      <c r="H40" s="82"/>
      <c r="I40" s="82"/>
      <c r="J40" s="82"/>
      <c r="K40" s="82">
        <f t="shared" si="7"/>
        <v>0</v>
      </c>
      <c r="L40" s="82"/>
      <c r="M40" s="82"/>
      <c r="N40" s="82">
        <f t="shared" si="12"/>
        <v>4865.0263269999996</v>
      </c>
      <c r="O40" s="82"/>
      <c r="P40" s="83">
        <f t="shared" si="11"/>
        <v>4865.0263269999996</v>
      </c>
      <c r="Q40" s="82">
        <f>3693.54427+171.482057</f>
        <v>3865.026327</v>
      </c>
      <c r="R40" s="82">
        <v>1000</v>
      </c>
      <c r="S40" s="82"/>
      <c r="T40" s="82"/>
      <c r="U40" s="82">
        <f t="shared" ref="U40:U90" si="14">V40+W40</f>
        <v>0</v>
      </c>
      <c r="V40" s="82"/>
      <c r="W40" s="82"/>
      <c r="X40" s="82"/>
      <c r="Y40" s="82"/>
      <c r="Z40" s="82"/>
      <c r="AA40" s="82"/>
      <c r="AB40" s="84">
        <f t="shared" si="13"/>
        <v>107.9917053718091</v>
      </c>
      <c r="AC40" s="84"/>
      <c r="AD40" s="84">
        <f t="shared" si="4"/>
        <v>107.9917053718091</v>
      </c>
      <c r="AE40" s="84"/>
    </row>
    <row r="41" spans="1:31" s="16" customFormat="1" ht="24.75" customHeight="1" x14ac:dyDescent="0.25">
      <c r="A41" s="85" t="s">
        <v>309</v>
      </c>
      <c r="B41" s="87" t="s">
        <v>310</v>
      </c>
      <c r="C41" s="82">
        <f t="shared" si="9"/>
        <v>7723</v>
      </c>
      <c r="D41" s="82"/>
      <c r="E41" s="82">
        <f t="shared" si="10"/>
        <v>7723</v>
      </c>
      <c r="F41" s="82">
        <v>7685</v>
      </c>
      <c r="G41" s="82"/>
      <c r="H41" s="82">
        <v>38</v>
      </c>
      <c r="I41" s="82"/>
      <c r="J41" s="82"/>
      <c r="K41" s="82">
        <f t="shared" si="7"/>
        <v>0</v>
      </c>
      <c r="L41" s="82"/>
      <c r="M41" s="82"/>
      <c r="N41" s="82">
        <f t="shared" si="12"/>
        <v>8151.0581949999996</v>
      </c>
      <c r="O41" s="82"/>
      <c r="P41" s="83">
        <f t="shared" si="11"/>
        <v>8151.0581949999996</v>
      </c>
      <c r="Q41" s="82">
        <f>8151.058195</f>
        <v>8151.0581949999996</v>
      </c>
      <c r="R41" s="82"/>
      <c r="S41" s="82"/>
      <c r="T41" s="82"/>
      <c r="U41" s="82">
        <f t="shared" si="14"/>
        <v>0</v>
      </c>
      <c r="V41" s="82"/>
      <c r="W41" s="82"/>
      <c r="X41" s="82"/>
      <c r="Y41" s="82"/>
      <c r="Z41" s="82"/>
      <c r="AA41" s="82"/>
      <c r="AB41" s="84">
        <f t="shared" si="13"/>
        <v>105.54264139583063</v>
      </c>
      <c r="AC41" s="84"/>
      <c r="AD41" s="84">
        <f t="shared" si="4"/>
        <v>105.54264139583063</v>
      </c>
      <c r="AE41" s="84"/>
    </row>
    <row r="42" spans="1:31" s="16" customFormat="1" ht="24.75" customHeight="1" x14ac:dyDescent="0.25">
      <c r="A42" s="80" t="s">
        <v>311</v>
      </c>
      <c r="B42" s="87" t="s">
        <v>312</v>
      </c>
      <c r="C42" s="82">
        <f t="shared" si="9"/>
        <v>6532</v>
      </c>
      <c r="D42" s="82"/>
      <c r="E42" s="82">
        <f t="shared" si="10"/>
        <v>6532</v>
      </c>
      <c r="F42" s="82">
        <v>6365</v>
      </c>
      <c r="G42" s="82"/>
      <c r="H42" s="82">
        <v>167</v>
      </c>
      <c r="I42" s="82"/>
      <c r="J42" s="82"/>
      <c r="K42" s="82">
        <f t="shared" si="7"/>
        <v>0</v>
      </c>
      <c r="L42" s="82"/>
      <c r="M42" s="82"/>
      <c r="N42" s="82">
        <f t="shared" si="12"/>
        <v>6451.7469970000002</v>
      </c>
      <c r="O42" s="82"/>
      <c r="P42" s="83">
        <f t="shared" si="11"/>
        <v>6451.7469970000002</v>
      </c>
      <c r="Q42" s="82">
        <v>6451.7469970000002</v>
      </c>
      <c r="R42" s="82"/>
      <c r="S42" s="82"/>
      <c r="T42" s="82"/>
      <c r="U42" s="82">
        <f t="shared" si="14"/>
        <v>0</v>
      </c>
      <c r="V42" s="82"/>
      <c r="W42" s="82"/>
      <c r="X42" s="82"/>
      <c r="Y42" s="82"/>
      <c r="Z42" s="82"/>
      <c r="AA42" s="82"/>
      <c r="AB42" s="84">
        <f t="shared" si="13"/>
        <v>98.771386971830992</v>
      </c>
      <c r="AC42" s="84"/>
      <c r="AD42" s="84">
        <f t="shared" si="4"/>
        <v>98.771386971830992</v>
      </c>
      <c r="AE42" s="84"/>
    </row>
    <row r="43" spans="1:31" s="245" customFormat="1" ht="24.75" customHeight="1" x14ac:dyDescent="0.25">
      <c r="A43" s="241" t="s">
        <v>313</v>
      </c>
      <c r="B43" s="242" t="s">
        <v>314</v>
      </c>
      <c r="C43" s="243">
        <f t="shared" si="9"/>
        <v>77780</v>
      </c>
      <c r="D43" s="243">
        <v>200</v>
      </c>
      <c r="E43" s="243">
        <f t="shared" si="10"/>
        <v>77580</v>
      </c>
      <c r="F43" s="243">
        <f>12479+32822+20200</f>
        <v>65501</v>
      </c>
      <c r="G43" s="243"/>
      <c r="H43" s="243">
        <f>300+6706+40+33+5000</f>
        <v>12079</v>
      </c>
      <c r="I43" s="243"/>
      <c r="J43" s="243"/>
      <c r="K43" s="243">
        <f t="shared" si="7"/>
        <v>0</v>
      </c>
      <c r="L43" s="243"/>
      <c r="M43" s="243"/>
      <c r="N43" s="243">
        <f t="shared" si="12"/>
        <v>227690.94387999998</v>
      </c>
      <c r="O43" s="243">
        <v>131443.03610699999</v>
      </c>
      <c r="P43" s="246">
        <f t="shared" si="11"/>
        <v>96247.907772999999</v>
      </c>
      <c r="Q43" s="243">
        <f>25483+70764.907773</f>
        <v>96247.907772999999</v>
      </c>
      <c r="R43" s="243"/>
      <c r="S43" s="243"/>
      <c r="T43" s="243"/>
      <c r="U43" s="243">
        <f t="shared" si="14"/>
        <v>0</v>
      </c>
      <c r="V43" s="243"/>
      <c r="W43" s="243"/>
      <c r="X43" s="243"/>
      <c r="Y43" s="243"/>
      <c r="Z43" s="243"/>
      <c r="AA43" s="243"/>
      <c r="AB43" s="244">
        <f t="shared" si="13"/>
        <v>292.73713535613268</v>
      </c>
      <c r="AC43" s="244">
        <f t="shared" si="13"/>
        <v>65721.518053499996</v>
      </c>
      <c r="AD43" s="244">
        <f t="shared" si="4"/>
        <v>124.06278393013663</v>
      </c>
      <c r="AE43" s="244"/>
    </row>
    <row r="44" spans="1:31" s="16" customFormat="1" ht="24.75" customHeight="1" x14ac:dyDescent="0.25">
      <c r="A44" s="80" t="s">
        <v>315</v>
      </c>
      <c r="B44" s="87" t="s">
        <v>525</v>
      </c>
      <c r="C44" s="82">
        <f t="shared" si="9"/>
        <v>37006.324000000001</v>
      </c>
      <c r="D44" s="82">
        <v>301.32400000000001</v>
      </c>
      <c r="E44" s="82">
        <f t="shared" si="10"/>
        <v>36705</v>
      </c>
      <c r="F44" s="82">
        <v>32570</v>
      </c>
      <c r="G44" s="82"/>
      <c r="H44" s="82">
        <f>1274+92+2769</f>
        <v>4135</v>
      </c>
      <c r="I44" s="82"/>
      <c r="J44" s="82"/>
      <c r="K44" s="82">
        <f t="shared" si="7"/>
        <v>0</v>
      </c>
      <c r="L44" s="82"/>
      <c r="M44" s="82"/>
      <c r="N44" s="82">
        <f t="shared" si="12"/>
        <v>38634.062796999999</v>
      </c>
      <c r="O44" s="82">
        <v>95.323999999999998</v>
      </c>
      <c r="P44" s="83">
        <f t="shared" si="11"/>
        <v>38538.738796999998</v>
      </c>
      <c r="Q44" s="82">
        <v>38538.738796999998</v>
      </c>
      <c r="R44" s="82"/>
      <c r="S44" s="82"/>
      <c r="T44" s="82"/>
      <c r="U44" s="82">
        <f t="shared" si="14"/>
        <v>0</v>
      </c>
      <c r="V44" s="82"/>
      <c r="W44" s="82"/>
      <c r="X44" s="82"/>
      <c r="Y44" s="82"/>
      <c r="Z44" s="82"/>
      <c r="AA44" s="82"/>
      <c r="AB44" s="84">
        <f t="shared" si="13"/>
        <v>104.39854225185944</v>
      </c>
      <c r="AC44" s="84">
        <f t="shared" si="13"/>
        <v>31.635050643161513</v>
      </c>
      <c r="AD44" s="84">
        <f t="shared" si="4"/>
        <v>104.99588284157471</v>
      </c>
      <c r="AE44" s="84"/>
    </row>
    <row r="45" spans="1:31" s="16" customFormat="1" ht="24.75" customHeight="1" x14ac:dyDescent="0.25">
      <c r="A45" s="80" t="s">
        <v>316</v>
      </c>
      <c r="B45" s="87" t="s">
        <v>526</v>
      </c>
      <c r="C45" s="82">
        <f t="shared" si="9"/>
        <v>685</v>
      </c>
      <c r="D45" s="82"/>
      <c r="E45" s="82">
        <f t="shared" si="10"/>
        <v>685</v>
      </c>
      <c r="F45" s="82">
        <v>685</v>
      </c>
      <c r="G45" s="82"/>
      <c r="H45" s="82"/>
      <c r="I45" s="82"/>
      <c r="J45" s="82"/>
      <c r="K45" s="82">
        <f t="shared" si="7"/>
        <v>0</v>
      </c>
      <c r="L45" s="82"/>
      <c r="M45" s="82"/>
      <c r="N45" s="82">
        <f t="shared" si="12"/>
        <v>562</v>
      </c>
      <c r="O45" s="82"/>
      <c r="P45" s="83">
        <f t="shared" si="11"/>
        <v>562</v>
      </c>
      <c r="Q45" s="82">
        <v>562</v>
      </c>
      <c r="R45" s="82"/>
      <c r="S45" s="82"/>
      <c r="T45" s="82"/>
      <c r="U45" s="82">
        <f t="shared" si="14"/>
        <v>0</v>
      </c>
      <c r="V45" s="82"/>
      <c r="W45" s="82"/>
      <c r="X45" s="82"/>
      <c r="Y45" s="82"/>
      <c r="Z45" s="82"/>
      <c r="AA45" s="82"/>
      <c r="AB45" s="84">
        <f t="shared" si="13"/>
        <v>82.043795620437962</v>
      </c>
      <c r="AC45" s="84"/>
      <c r="AD45" s="84">
        <f t="shared" si="4"/>
        <v>82.043795620437962</v>
      </c>
      <c r="AE45" s="84"/>
    </row>
    <row r="46" spans="1:31" s="16" customFormat="1" ht="33.75" customHeight="1" x14ac:dyDescent="0.25">
      <c r="A46" s="80" t="s">
        <v>318</v>
      </c>
      <c r="B46" s="87" t="s">
        <v>317</v>
      </c>
      <c r="C46" s="82">
        <f t="shared" si="9"/>
        <v>436</v>
      </c>
      <c r="D46" s="82"/>
      <c r="E46" s="82">
        <f t="shared" si="10"/>
        <v>436</v>
      </c>
      <c r="F46" s="82">
        <v>436</v>
      </c>
      <c r="G46" s="82"/>
      <c r="H46" s="82"/>
      <c r="I46" s="82"/>
      <c r="J46" s="82"/>
      <c r="K46" s="82">
        <f t="shared" si="7"/>
        <v>0</v>
      </c>
      <c r="L46" s="82"/>
      <c r="M46" s="82"/>
      <c r="N46" s="82">
        <f t="shared" si="12"/>
        <v>438.05399999999997</v>
      </c>
      <c r="O46" s="82"/>
      <c r="P46" s="83">
        <f t="shared" si="11"/>
        <v>438.05399999999997</v>
      </c>
      <c r="Q46" s="82">
        <v>438.05399999999997</v>
      </c>
      <c r="R46" s="82"/>
      <c r="S46" s="82"/>
      <c r="T46" s="82"/>
      <c r="U46" s="82">
        <f t="shared" si="14"/>
        <v>0</v>
      </c>
      <c r="V46" s="82"/>
      <c r="W46" s="82"/>
      <c r="X46" s="82"/>
      <c r="Y46" s="82"/>
      <c r="Z46" s="82"/>
      <c r="AA46" s="82"/>
      <c r="AB46" s="84">
        <f t="shared" si="13"/>
        <v>100.47110091743117</v>
      </c>
      <c r="AC46" s="84"/>
      <c r="AD46" s="84">
        <f t="shared" si="4"/>
        <v>100.47110091743117</v>
      </c>
      <c r="AE46" s="84"/>
    </row>
    <row r="47" spans="1:31" s="16" customFormat="1" ht="24.75" customHeight="1" x14ac:dyDescent="0.25">
      <c r="A47" s="80" t="s">
        <v>320</v>
      </c>
      <c r="B47" s="87" t="s">
        <v>319</v>
      </c>
      <c r="C47" s="82">
        <f t="shared" si="9"/>
        <v>526</v>
      </c>
      <c r="D47" s="82"/>
      <c r="E47" s="82">
        <f t="shared" si="10"/>
        <v>526</v>
      </c>
      <c r="F47" s="82">
        <v>526</v>
      </c>
      <c r="G47" s="82"/>
      <c r="H47" s="82"/>
      <c r="I47" s="82"/>
      <c r="J47" s="82"/>
      <c r="K47" s="82">
        <f t="shared" si="7"/>
        <v>0</v>
      </c>
      <c r="L47" s="82"/>
      <c r="M47" s="82"/>
      <c r="N47" s="82">
        <f t="shared" si="12"/>
        <v>466.00128100000001</v>
      </c>
      <c r="O47" s="82"/>
      <c r="P47" s="83">
        <f t="shared" si="11"/>
        <v>466.00128100000001</v>
      </c>
      <c r="Q47" s="82">
        <v>466.00128100000001</v>
      </c>
      <c r="R47" s="82"/>
      <c r="S47" s="82"/>
      <c r="T47" s="82"/>
      <c r="U47" s="82">
        <f t="shared" si="14"/>
        <v>0</v>
      </c>
      <c r="V47" s="82"/>
      <c r="W47" s="82"/>
      <c r="X47" s="82"/>
      <c r="Y47" s="82"/>
      <c r="Z47" s="82"/>
      <c r="AA47" s="82"/>
      <c r="AB47" s="84">
        <f t="shared" si="13"/>
        <v>88.593399429657794</v>
      </c>
      <c r="AC47" s="84"/>
      <c r="AD47" s="84">
        <f t="shared" si="4"/>
        <v>88.593399429657794</v>
      </c>
      <c r="AE47" s="84"/>
    </row>
    <row r="48" spans="1:31" s="16" customFormat="1" ht="24.75" customHeight="1" x14ac:dyDescent="0.25">
      <c r="A48" s="80" t="s">
        <v>322</v>
      </c>
      <c r="B48" s="87" t="s">
        <v>321</v>
      </c>
      <c r="C48" s="82">
        <f t="shared" si="9"/>
        <v>345</v>
      </c>
      <c r="D48" s="82"/>
      <c r="E48" s="82">
        <f t="shared" si="10"/>
        <v>345</v>
      </c>
      <c r="F48" s="82">
        <v>345</v>
      </c>
      <c r="G48" s="82"/>
      <c r="H48" s="82"/>
      <c r="I48" s="82"/>
      <c r="J48" s="82"/>
      <c r="K48" s="82">
        <f t="shared" si="7"/>
        <v>0</v>
      </c>
      <c r="L48" s="82"/>
      <c r="M48" s="82"/>
      <c r="N48" s="82">
        <f t="shared" si="12"/>
        <v>377</v>
      </c>
      <c r="O48" s="82"/>
      <c r="P48" s="83">
        <f t="shared" si="11"/>
        <v>377</v>
      </c>
      <c r="Q48" s="82">
        <v>377</v>
      </c>
      <c r="R48" s="82"/>
      <c r="S48" s="82"/>
      <c r="T48" s="82"/>
      <c r="U48" s="82">
        <f t="shared" si="14"/>
        <v>0</v>
      </c>
      <c r="V48" s="82"/>
      <c r="W48" s="82"/>
      <c r="X48" s="82"/>
      <c r="Y48" s="82"/>
      <c r="Z48" s="82"/>
      <c r="AA48" s="82"/>
      <c r="AB48" s="84">
        <f t="shared" si="13"/>
        <v>109.27536231884058</v>
      </c>
      <c r="AC48" s="84"/>
      <c r="AD48" s="84">
        <f t="shared" si="4"/>
        <v>109.27536231884058</v>
      </c>
      <c r="AE48" s="84"/>
    </row>
    <row r="49" spans="1:31" s="16" customFormat="1" ht="24.75" customHeight="1" x14ac:dyDescent="0.25">
      <c r="A49" s="80" t="s">
        <v>324</v>
      </c>
      <c r="B49" s="87" t="s">
        <v>323</v>
      </c>
      <c r="C49" s="82">
        <f t="shared" si="9"/>
        <v>90</v>
      </c>
      <c r="D49" s="82"/>
      <c r="E49" s="82">
        <f t="shared" si="10"/>
        <v>90</v>
      </c>
      <c r="F49" s="82">
        <v>90</v>
      </c>
      <c r="G49" s="82"/>
      <c r="H49" s="82"/>
      <c r="I49" s="82"/>
      <c r="J49" s="82"/>
      <c r="K49" s="82">
        <f t="shared" si="7"/>
        <v>0</v>
      </c>
      <c r="L49" s="82"/>
      <c r="M49" s="82"/>
      <c r="N49" s="82">
        <f t="shared" si="12"/>
        <v>81</v>
      </c>
      <c r="O49" s="82"/>
      <c r="P49" s="83">
        <f t="shared" si="11"/>
        <v>81</v>
      </c>
      <c r="Q49" s="82">
        <v>81</v>
      </c>
      <c r="R49" s="82"/>
      <c r="S49" s="82"/>
      <c r="T49" s="82"/>
      <c r="U49" s="82">
        <f t="shared" si="14"/>
        <v>0</v>
      </c>
      <c r="V49" s="82"/>
      <c r="W49" s="82"/>
      <c r="X49" s="82"/>
      <c r="Y49" s="82"/>
      <c r="Z49" s="82"/>
      <c r="AA49" s="82"/>
      <c r="AB49" s="84">
        <f t="shared" si="13"/>
        <v>90</v>
      </c>
      <c r="AC49" s="84"/>
      <c r="AD49" s="84">
        <f t="shared" si="4"/>
        <v>90</v>
      </c>
      <c r="AE49" s="84"/>
    </row>
    <row r="50" spans="1:31" s="16" customFormat="1" ht="24.75" customHeight="1" x14ac:dyDescent="0.25">
      <c r="A50" s="80" t="s">
        <v>326</v>
      </c>
      <c r="B50" s="87" t="s">
        <v>325</v>
      </c>
      <c r="C50" s="82">
        <f t="shared" si="9"/>
        <v>898</v>
      </c>
      <c r="D50" s="82"/>
      <c r="E50" s="82">
        <f t="shared" si="10"/>
        <v>898</v>
      </c>
      <c r="F50" s="82">
        <v>898</v>
      </c>
      <c r="G50" s="82"/>
      <c r="H50" s="82"/>
      <c r="I50" s="82"/>
      <c r="J50" s="82"/>
      <c r="K50" s="82">
        <f t="shared" si="7"/>
        <v>0</v>
      </c>
      <c r="L50" s="82"/>
      <c r="M50" s="82"/>
      <c r="N50" s="82">
        <f t="shared" si="12"/>
        <v>639.33696999999995</v>
      </c>
      <c r="O50" s="82"/>
      <c r="P50" s="83">
        <f t="shared" si="11"/>
        <v>639.33696999999995</v>
      </c>
      <c r="Q50" s="82">
        <v>639.33696999999995</v>
      </c>
      <c r="R50" s="82"/>
      <c r="S50" s="82"/>
      <c r="T50" s="82"/>
      <c r="U50" s="82">
        <f t="shared" si="14"/>
        <v>0</v>
      </c>
      <c r="V50" s="82"/>
      <c r="W50" s="82"/>
      <c r="X50" s="82"/>
      <c r="Y50" s="82"/>
      <c r="Z50" s="82"/>
      <c r="AA50" s="82"/>
      <c r="AB50" s="84">
        <f t="shared" si="13"/>
        <v>71.195653674832954</v>
      </c>
      <c r="AC50" s="84"/>
      <c r="AD50" s="84">
        <f t="shared" si="4"/>
        <v>71.195653674832954</v>
      </c>
      <c r="AE50" s="84"/>
    </row>
    <row r="51" spans="1:31" s="16" customFormat="1" ht="34.5" customHeight="1" x14ac:dyDescent="0.25">
      <c r="A51" s="80" t="s">
        <v>328</v>
      </c>
      <c r="B51" s="87" t="s">
        <v>327</v>
      </c>
      <c r="C51" s="82">
        <f t="shared" si="9"/>
        <v>1745</v>
      </c>
      <c r="D51" s="82"/>
      <c r="E51" s="82">
        <f t="shared" si="10"/>
        <v>1745</v>
      </c>
      <c r="F51" s="82">
        <v>1745</v>
      </c>
      <c r="G51" s="82"/>
      <c r="H51" s="82"/>
      <c r="I51" s="82"/>
      <c r="J51" s="82"/>
      <c r="K51" s="82">
        <f t="shared" si="7"/>
        <v>0</v>
      </c>
      <c r="L51" s="82"/>
      <c r="M51" s="82"/>
      <c r="N51" s="82">
        <f t="shared" si="12"/>
        <v>1715.684825</v>
      </c>
      <c r="O51" s="82"/>
      <c r="P51" s="83">
        <f t="shared" si="11"/>
        <v>1715.684825</v>
      </c>
      <c r="Q51" s="82">
        <v>1715.684825</v>
      </c>
      <c r="R51" s="82"/>
      <c r="S51" s="82"/>
      <c r="T51" s="82"/>
      <c r="U51" s="82">
        <f t="shared" si="14"/>
        <v>0</v>
      </c>
      <c r="V51" s="82"/>
      <c r="W51" s="82"/>
      <c r="X51" s="82"/>
      <c r="Y51" s="82"/>
      <c r="Z51" s="82"/>
      <c r="AA51" s="82"/>
      <c r="AB51" s="84">
        <f t="shared" si="13"/>
        <v>98.320047277936965</v>
      </c>
      <c r="AC51" s="84"/>
      <c r="AD51" s="84">
        <f t="shared" si="4"/>
        <v>98.320047277936965</v>
      </c>
      <c r="AE51" s="84"/>
    </row>
    <row r="52" spans="1:31" s="16" customFormat="1" ht="24.75" customHeight="1" x14ac:dyDescent="0.25">
      <c r="A52" s="80" t="s">
        <v>330</v>
      </c>
      <c r="B52" s="87" t="s">
        <v>329</v>
      </c>
      <c r="C52" s="82">
        <f t="shared" si="9"/>
        <v>322</v>
      </c>
      <c r="D52" s="82"/>
      <c r="E52" s="82">
        <f t="shared" si="10"/>
        <v>322</v>
      </c>
      <c r="F52" s="82">
        <v>322</v>
      </c>
      <c r="G52" s="82"/>
      <c r="H52" s="82"/>
      <c r="I52" s="82"/>
      <c r="J52" s="82"/>
      <c r="K52" s="82">
        <f t="shared" si="7"/>
        <v>0</v>
      </c>
      <c r="L52" s="82"/>
      <c r="M52" s="82"/>
      <c r="N52" s="82">
        <f t="shared" si="12"/>
        <v>299</v>
      </c>
      <c r="O52" s="82"/>
      <c r="P52" s="83">
        <f t="shared" si="11"/>
        <v>299</v>
      </c>
      <c r="Q52" s="82">
        <v>299</v>
      </c>
      <c r="R52" s="82"/>
      <c r="S52" s="82"/>
      <c r="T52" s="82"/>
      <c r="U52" s="82">
        <f t="shared" si="14"/>
        <v>0</v>
      </c>
      <c r="V52" s="82"/>
      <c r="W52" s="82"/>
      <c r="X52" s="82"/>
      <c r="Y52" s="82"/>
      <c r="Z52" s="82"/>
      <c r="AA52" s="82"/>
      <c r="AB52" s="84">
        <f t="shared" si="13"/>
        <v>92.857142857142847</v>
      </c>
      <c r="AC52" s="84"/>
      <c r="AD52" s="84">
        <f t="shared" si="4"/>
        <v>92.857142857142847</v>
      </c>
      <c r="AE52" s="84"/>
    </row>
    <row r="53" spans="1:31" s="16" customFormat="1" ht="24.75" customHeight="1" x14ac:dyDescent="0.25">
      <c r="A53" s="80" t="s">
        <v>332</v>
      </c>
      <c r="B53" s="87" t="s">
        <v>331</v>
      </c>
      <c r="C53" s="82">
        <f t="shared" si="9"/>
        <v>1291</v>
      </c>
      <c r="D53" s="82"/>
      <c r="E53" s="82">
        <f t="shared" si="10"/>
        <v>1291</v>
      </c>
      <c r="F53" s="82">
        <v>1291</v>
      </c>
      <c r="G53" s="82"/>
      <c r="H53" s="82"/>
      <c r="I53" s="82"/>
      <c r="J53" s="82"/>
      <c r="K53" s="82">
        <f t="shared" si="7"/>
        <v>0</v>
      </c>
      <c r="L53" s="82"/>
      <c r="M53" s="82"/>
      <c r="N53" s="82">
        <f t="shared" si="12"/>
        <v>1020.065339</v>
      </c>
      <c r="O53" s="82"/>
      <c r="P53" s="83">
        <f t="shared" si="11"/>
        <v>1020.065339</v>
      </c>
      <c r="Q53" s="82">
        <v>1020.065339</v>
      </c>
      <c r="R53" s="82"/>
      <c r="S53" s="82"/>
      <c r="T53" s="82"/>
      <c r="U53" s="82">
        <f t="shared" si="14"/>
        <v>0</v>
      </c>
      <c r="V53" s="82"/>
      <c r="W53" s="82"/>
      <c r="X53" s="82"/>
      <c r="Y53" s="82"/>
      <c r="Z53" s="82"/>
      <c r="AA53" s="82"/>
      <c r="AB53" s="84">
        <f t="shared" si="13"/>
        <v>79.013581642137879</v>
      </c>
      <c r="AC53" s="84"/>
      <c r="AD53" s="84">
        <f t="shared" si="4"/>
        <v>79.013581642137879</v>
      </c>
      <c r="AE53" s="84"/>
    </row>
    <row r="54" spans="1:31" s="16" customFormat="1" ht="24.75" customHeight="1" x14ac:dyDescent="0.25">
      <c r="A54" s="80" t="s">
        <v>334</v>
      </c>
      <c r="B54" s="87" t="s">
        <v>333</v>
      </c>
      <c r="C54" s="82">
        <f t="shared" si="9"/>
        <v>118</v>
      </c>
      <c r="D54" s="82"/>
      <c r="E54" s="82">
        <f t="shared" si="10"/>
        <v>118</v>
      </c>
      <c r="F54" s="82">
        <v>118</v>
      </c>
      <c r="G54" s="82"/>
      <c r="H54" s="82"/>
      <c r="I54" s="82"/>
      <c r="J54" s="82"/>
      <c r="K54" s="82">
        <f t="shared" si="7"/>
        <v>0</v>
      </c>
      <c r="L54" s="82"/>
      <c r="M54" s="82"/>
      <c r="N54" s="82">
        <f t="shared" si="12"/>
        <v>235.8323</v>
      </c>
      <c r="O54" s="82"/>
      <c r="P54" s="83">
        <f t="shared" si="11"/>
        <v>235.8323</v>
      </c>
      <c r="Q54" s="82">
        <v>235.8323</v>
      </c>
      <c r="R54" s="82"/>
      <c r="S54" s="82"/>
      <c r="T54" s="82"/>
      <c r="U54" s="82">
        <f t="shared" si="14"/>
        <v>0</v>
      </c>
      <c r="V54" s="82"/>
      <c r="W54" s="82"/>
      <c r="X54" s="82"/>
      <c r="Y54" s="82"/>
      <c r="Z54" s="82"/>
      <c r="AA54" s="82"/>
      <c r="AB54" s="84">
        <f t="shared" si="13"/>
        <v>199.85788135593222</v>
      </c>
      <c r="AC54" s="84"/>
      <c r="AD54" s="84">
        <f t="shared" si="4"/>
        <v>199.85788135593222</v>
      </c>
      <c r="AE54" s="84"/>
    </row>
    <row r="55" spans="1:31" s="16" customFormat="1" ht="24.75" customHeight="1" x14ac:dyDescent="0.25">
      <c r="A55" s="80" t="s">
        <v>336</v>
      </c>
      <c r="B55" s="87" t="s">
        <v>335</v>
      </c>
      <c r="C55" s="82">
        <f t="shared" si="9"/>
        <v>43</v>
      </c>
      <c r="D55" s="82"/>
      <c r="E55" s="82">
        <f t="shared" si="10"/>
        <v>43</v>
      </c>
      <c r="F55" s="82">
        <v>43</v>
      </c>
      <c r="G55" s="82"/>
      <c r="H55" s="82"/>
      <c r="I55" s="82"/>
      <c r="J55" s="82"/>
      <c r="K55" s="82">
        <f t="shared" si="7"/>
        <v>0</v>
      </c>
      <c r="L55" s="82"/>
      <c r="M55" s="82"/>
      <c r="N55" s="82">
        <f t="shared" si="12"/>
        <v>0.10290000000000001</v>
      </c>
      <c r="O55" s="82"/>
      <c r="P55" s="83">
        <f t="shared" si="11"/>
        <v>0.10290000000000001</v>
      </c>
      <c r="Q55" s="82">
        <f>102900/1000000</f>
        <v>0.10290000000000001</v>
      </c>
      <c r="R55" s="82"/>
      <c r="S55" s="82"/>
      <c r="T55" s="82"/>
      <c r="U55" s="82">
        <f t="shared" si="14"/>
        <v>0</v>
      </c>
      <c r="V55" s="82"/>
      <c r="W55" s="82"/>
      <c r="X55" s="82"/>
      <c r="Y55" s="82"/>
      <c r="Z55" s="82"/>
      <c r="AA55" s="82"/>
      <c r="AB55" s="84">
        <f t="shared" si="13"/>
        <v>0.23930232558139536</v>
      </c>
      <c r="AC55" s="84"/>
      <c r="AD55" s="84">
        <f t="shared" si="4"/>
        <v>0.23930232558139536</v>
      </c>
      <c r="AE55" s="84"/>
    </row>
    <row r="56" spans="1:31" s="16" customFormat="1" ht="24.75" customHeight="1" x14ac:dyDescent="0.25">
      <c r="A56" s="80" t="s">
        <v>338</v>
      </c>
      <c r="B56" s="87" t="s">
        <v>337</v>
      </c>
      <c r="C56" s="82">
        <f t="shared" si="9"/>
        <v>383</v>
      </c>
      <c r="D56" s="82"/>
      <c r="E56" s="82">
        <f t="shared" si="10"/>
        <v>383</v>
      </c>
      <c r="F56" s="82">
        <v>383</v>
      </c>
      <c r="G56" s="82"/>
      <c r="H56" s="82"/>
      <c r="I56" s="82"/>
      <c r="J56" s="82"/>
      <c r="K56" s="82">
        <f t="shared" si="7"/>
        <v>0</v>
      </c>
      <c r="L56" s="82"/>
      <c r="M56" s="82"/>
      <c r="N56" s="82">
        <f t="shared" si="12"/>
        <v>356</v>
      </c>
      <c r="O56" s="82"/>
      <c r="P56" s="83">
        <f t="shared" si="11"/>
        <v>356</v>
      </c>
      <c r="Q56" s="82">
        <v>356</v>
      </c>
      <c r="R56" s="82"/>
      <c r="S56" s="82"/>
      <c r="T56" s="82"/>
      <c r="U56" s="82">
        <f t="shared" si="14"/>
        <v>0</v>
      </c>
      <c r="V56" s="82"/>
      <c r="W56" s="82"/>
      <c r="X56" s="82"/>
      <c r="Y56" s="82"/>
      <c r="Z56" s="82"/>
      <c r="AA56" s="82"/>
      <c r="AB56" s="84">
        <f t="shared" si="13"/>
        <v>92.95039164490862</v>
      </c>
      <c r="AC56" s="84"/>
      <c r="AD56" s="84">
        <f t="shared" si="4"/>
        <v>92.95039164490862</v>
      </c>
      <c r="AE56" s="84"/>
    </row>
    <row r="57" spans="1:31" s="16" customFormat="1" ht="24.75" customHeight="1" x14ac:dyDescent="0.25">
      <c r="A57" s="80" t="s">
        <v>389</v>
      </c>
      <c r="B57" s="81" t="s">
        <v>339</v>
      </c>
      <c r="C57" s="82">
        <f t="shared" si="9"/>
        <v>2003</v>
      </c>
      <c r="D57" s="82"/>
      <c r="E57" s="82">
        <f t="shared" si="10"/>
        <v>2003</v>
      </c>
      <c r="F57" s="82">
        <v>2003</v>
      </c>
      <c r="G57" s="82"/>
      <c r="H57" s="82"/>
      <c r="I57" s="82"/>
      <c r="J57" s="82"/>
      <c r="K57" s="82">
        <f t="shared" si="7"/>
        <v>0</v>
      </c>
      <c r="L57" s="82"/>
      <c r="M57" s="82"/>
      <c r="N57" s="82">
        <f t="shared" si="12"/>
        <v>1818.7662339999999</v>
      </c>
      <c r="O57" s="82"/>
      <c r="P57" s="83">
        <f t="shared" si="11"/>
        <v>1818.7662339999999</v>
      </c>
      <c r="Q57" s="82">
        <v>1818.7662339999999</v>
      </c>
      <c r="R57" s="82"/>
      <c r="S57" s="82"/>
      <c r="T57" s="82"/>
      <c r="U57" s="82">
        <f t="shared" si="14"/>
        <v>0</v>
      </c>
      <c r="V57" s="82"/>
      <c r="W57" s="82"/>
      <c r="X57" s="82"/>
      <c r="Y57" s="82"/>
      <c r="Z57" s="82"/>
      <c r="AA57" s="82"/>
      <c r="AB57" s="84">
        <f t="shared" si="13"/>
        <v>90.802108537194201</v>
      </c>
      <c r="AC57" s="84"/>
      <c r="AD57" s="84">
        <f t="shared" si="4"/>
        <v>90.802108537194201</v>
      </c>
      <c r="AE57" s="84"/>
    </row>
    <row r="58" spans="1:31" s="16" customFormat="1" ht="24.75" customHeight="1" x14ac:dyDescent="0.25">
      <c r="A58" s="80" t="s">
        <v>390</v>
      </c>
      <c r="B58" s="81" t="s">
        <v>340</v>
      </c>
      <c r="C58" s="82">
        <f t="shared" si="9"/>
        <v>1789</v>
      </c>
      <c r="D58" s="82"/>
      <c r="E58" s="82">
        <f t="shared" si="10"/>
        <v>1789</v>
      </c>
      <c r="F58" s="82">
        <v>1789</v>
      </c>
      <c r="G58" s="82"/>
      <c r="H58" s="82"/>
      <c r="I58" s="82"/>
      <c r="J58" s="82"/>
      <c r="K58" s="82">
        <f t="shared" si="7"/>
        <v>0</v>
      </c>
      <c r="L58" s="82"/>
      <c r="M58" s="82"/>
      <c r="N58" s="82">
        <f t="shared" si="12"/>
        <v>1873.4768469999999</v>
      </c>
      <c r="O58" s="82"/>
      <c r="P58" s="83">
        <f t="shared" si="11"/>
        <v>1873.4768469999999</v>
      </c>
      <c r="Q58" s="82">
        <v>1873.4768469999999</v>
      </c>
      <c r="R58" s="82"/>
      <c r="S58" s="82"/>
      <c r="T58" s="82"/>
      <c r="U58" s="82">
        <f t="shared" si="14"/>
        <v>0</v>
      </c>
      <c r="V58" s="82"/>
      <c r="W58" s="82"/>
      <c r="X58" s="82"/>
      <c r="Y58" s="82"/>
      <c r="Z58" s="82"/>
      <c r="AA58" s="82"/>
      <c r="AB58" s="84">
        <f t="shared" si="13"/>
        <v>104.72201492453884</v>
      </c>
      <c r="AC58" s="84"/>
      <c r="AD58" s="84">
        <f t="shared" si="4"/>
        <v>104.72201492453884</v>
      </c>
      <c r="AE58" s="84"/>
    </row>
    <row r="59" spans="1:31" s="16" customFormat="1" ht="24.75" customHeight="1" x14ac:dyDescent="0.25">
      <c r="A59" s="80" t="s">
        <v>391</v>
      </c>
      <c r="B59" s="87" t="s">
        <v>341</v>
      </c>
      <c r="C59" s="82">
        <f t="shared" si="9"/>
        <v>208</v>
      </c>
      <c r="D59" s="82"/>
      <c r="E59" s="82">
        <f t="shared" si="10"/>
        <v>208</v>
      </c>
      <c r="F59" s="82">
        <v>208</v>
      </c>
      <c r="G59" s="82"/>
      <c r="H59" s="82"/>
      <c r="I59" s="82"/>
      <c r="J59" s="82"/>
      <c r="K59" s="82">
        <f t="shared" si="7"/>
        <v>0</v>
      </c>
      <c r="L59" s="82"/>
      <c r="M59" s="82"/>
      <c r="N59" s="82">
        <f t="shared" si="12"/>
        <v>0</v>
      </c>
      <c r="O59" s="82"/>
      <c r="P59" s="83">
        <f t="shared" si="11"/>
        <v>0</v>
      </c>
      <c r="Q59" s="82"/>
      <c r="R59" s="82"/>
      <c r="S59" s="82"/>
      <c r="T59" s="82"/>
      <c r="U59" s="82">
        <f t="shared" si="14"/>
        <v>0</v>
      </c>
      <c r="V59" s="82"/>
      <c r="W59" s="82"/>
      <c r="X59" s="82"/>
      <c r="Y59" s="82"/>
      <c r="Z59" s="82"/>
      <c r="AA59" s="82"/>
      <c r="AB59" s="84">
        <f t="shared" si="13"/>
        <v>0</v>
      </c>
      <c r="AC59" s="84"/>
      <c r="AD59" s="84">
        <f t="shared" si="4"/>
        <v>0</v>
      </c>
      <c r="AE59" s="84"/>
    </row>
    <row r="60" spans="1:31" s="16" customFormat="1" ht="24.75" customHeight="1" x14ac:dyDescent="0.25">
      <c r="A60" s="80" t="s">
        <v>392</v>
      </c>
      <c r="B60" s="87" t="s">
        <v>342</v>
      </c>
      <c r="C60" s="82">
        <f t="shared" si="9"/>
        <v>120</v>
      </c>
      <c r="D60" s="82"/>
      <c r="E60" s="82">
        <f t="shared" si="10"/>
        <v>120</v>
      </c>
      <c r="F60" s="82">
        <v>120</v>
      </c>
      <c r="G60" s="82"/>
      <c r="H60" s="82"/>
      <c r="I60" s="82"/>
      <c r="J60" s="82"/>
      <c r="K60" s="82">
        <f t="shared" si="7"/>
        <v>0</v>
      </c>
      <c r="L60" s="82"/>
      <c r="M60" s="82"/>
      <c r="N60" s="82">
        <f t="shared" si="12"/>
        <v>0</v>
      </c>
      <c r="O60" s="82"/>
      <c r="P60" s="83">
        <f t="shared" si="11"/>
        <v>0</v>
      </c>
      <c r="Q60" s="82"/>
      <c r="R60" s="82"/>
      <c r="S60" s="82"/>
      <c r="T60" s="82"/>
      <c r="U60" s="82">
        <f t="shared" si="14"/>
        <v>0</v>
      </c>
      <c r="V60" s="82"/>
      <c r="W60" s="82"/>
      <c r="X60" s="82"/>
      <c r="Y60" s="82"/>
      <c r="Z60" s="82"/>
      <c r="AA60" s="82"/>
      <c r="AB60" s="84">
        <f t="shared" si="13"/>
        <v>0</v>
      </c>
      <c r="AC60" s="84"/>
      <c r="AD60" s="84">
        <f t="shared" si="4"/>
        <v>0</v>
      </c>
      <c r="AE60" s="84"/>
    </row>
    <row r="61" spans="1:31" s="16" customFormat="1" ht="24.75" customHeight="1" x14ac:dyDescent="0.25">
      <c r="A61" s="80" t="s">
        <v>393</v>
      </c>
      <c r="B61" s="87" t="s">
        <v>527</v>
      </c>
      <c r="C61" s="82">
        <f t="shared" si="9"/>
        <v>20</v>
      </c>
      <c r="D61" s="82"/>
      <c r="E61" s="82">
        <f t="shared" si="10"/>
        <v>20</v>
      </c>
      <c r="F61" s="82">
        <v>20</v>
      </c>
      <c r="G61" s="82"/>
      <c r="H61" s="82"/>
      <c r="I61" s="82"/>
      <c r="J61" s="82"/>
      <c r="K61" s="82">
        <f t="shared" si="7"/>
        <v>0</v>
      </c>
      <c r="L61" s="82"/>
      <c r="M61" s="82"/>
      <c r="N61" s="82">
        <f t="shared" si="12"/>
        <v>0</v>
      </c>
      <c r="O61" s="82"/>
      <c r="P61" s="83">
        <f t="shared" si="11"/>
        <v>0</v>
      </c>
      <c r="Q61" s="82"/>
      <c r="R61" s="82"/>
      <c r="S61" s="82"/>
      <c r="T61" s="82"/>
      <c r="U61" s="82">
        <f t="shared" si="14"/>
        <v>0</v>
      </c>
      <c r="V61" s="82"/>
      <c r="W61" s="82"/>
      <c r="X61" s="82"/>
      <c r="Y61" s="82"/>
      <c r="Z61" s="82"/>
      <c r="AA61" s="82"/>
      <c r="AB61" s="84">
        <f t="shared" si="13"/>
        <v>0</v>
      </c>
      <c r="AC61" s="84"/>
      <c r="AD61" s="84">
        <f t="shared" si="4"/>
        <v>0</v>
      </c>
      <c r="AE61" s="84"/>
    </row>
    <row r="62" spans="1:31" s="16" customFormat="1" ht="24.75" customHeight="1" x14ac:dyDescent="0.25">
      <c r="A62" s="80" t="s">
        <v>394</v>
      </c>
      <c r="B62" s="90" t="s">
        <v>528</v>
      </c>
      <c r="C62" s="82">
        <f t="shared" si="9"/>
        <v>34</v>
      </c>
      <c r="D62" s="82"/>
      <c r="E62" s="82">
        <f t="shared" si="10"/>
        <v>34</v>
      </c>
      <c r="F62" s="82">
        <v>34</v>
      </c>
      <c r="G62" s="82"/>
      <c r="H62" s="82"/>
      <c r="I62" s="82"/>
      <c r="J62" s="82"/>
      <c r="K62" s="82">
        <f t="shared" si="7"/>
        <v>0</v>
      </c>
      <c r="L62" s="82"/>
      <c r="M62" s="82"/>
      <c r="N62" s="82">
        <f t="shared" si="12"/>
        <v>15.5</v>
      </c>
      <c r="O62" s="82"/>
      <c r="P62" s="83">
        <f t="shared" si="11"/>
        <v>15.5</v>
      </c>
      <c r="Q62" s="82">
        <v>15.5</v>
      </c>
      <c r="R62" s="82"/>
      <c r="S62" s="82"/>
      <c r="T62" s="82"/>
      <c r="U62" s="82">
        <f t="shared" si="14"/>
        <v>0</v>
      </c>
      <c r="V62" s="82"/>
      <c r="W62" s="82"/>
      <c r="X62" s="82"/>
      <c r="Y62" s="82"/>
      <c r="Z62" s="82"/>
      <c r="AA62" s="82"/>
      <c r="AB62" s="84">
        <f t="shared" si="13"/>
        <v>45.588235294117645</v>
      </c>
      <c r="AC62" s="84"/>
      <c r="AD62" s="84">
        <f t="shared" si="4"/>
        <v>45.588235294117645</v>
      </c>
      <c r="AE62" s="84"/>
    </row>
    <row r="63" spans="1:31" s="16" customFormat="1" ht="38.25" customHeight="1" x14ac:dyDescent="0.25">
      <c r="A63" s="80" t="s">
        <v>395</v>
      </c>
      <c r="B63" s="90" t="s">
        <v>344</v>
      </c>
      <c r="C63" s="82">
        <f t="shared" si="9"/>
        <v>65</v>
      </c>
      <c r="D63" s="82"/>
      <c r="E63" s="82">
        <f t="shared" si="10"/>
        <v>65</v>
      </c>
      <c r="F63" s="82">
        <v>65</v>
      </c>
      <c r="G63" s="82"/>
      <c r="H63" s="82"/>
      <c r="I63" s="82"/>
      <c r="J63" s="82"/>
      <c r="K63" s="82">
        <f t="shared" si="7"/>
        <v>0</v>
      </c>
      <c r="L63" s="82"/>
      <c r="M63" s="82"/>
      <c r="N63" s="82">
        <f t="shared" si="12"/>
        <v>64</v>
      </c>
      <c r="O63" s="82"/>
      <c r="P63" s="83">
        <f t="shared" si="11"/>
        <v>64</v>
      </c>
      <c r="Q63" s="82">
        <v>64</v>
      </c>
      <c r="R63" s="82"/>
      <c r="S63" s="82"/>
      <c r="T63" s="82"/>
      <c r="U63" s="82">
        <f t="shared" si="14"/>
        <v>0</v>
      </c>
      <c r="V63" s="82"/>
      <c r="W63" s="82"/>
      <c r="X63" s="82"/>
      <c r="Y63" s="82"/>
      <c r="Z63" s="82"/>
      <c r="AA63" s="82"/>
      <c r="AB63" s="84">
        <f t="shared" si="13"/>
        <v>98.461538461538453</v>
      </c>
      <c r="AC63" s="84"/>
      <c r="AD63" s="84">
        <f t="shared" si="4"/>
        <v>98.461538461538453</v>
      </c>
      <c r="AE63" s="84"/>
    </row>
    <row r="64" spans="1:31" s="16" customFormat="1" ht="45.75" customHeight="1" x14ac:dyDescent="0.25">
      <c r="A64" s="80" t="s">
        <v>396</v>
      </c>
      <c r="B64" s="90" t="s">
        <v>529</v>
      </c>
      <c r="C64" s="82">
        <f t="shared" si="9"/>
        <v>13000</v>
      </c>
      <c r="D64" s="82"/>
      <c r="E64" s="82">
        <f t="shared" si="10"/>
        <v>13000</v>
      </c>
      <c r="F64" s="82">
        <v>1500</v>
      </c>
      <c r="G64" s="82">
        <v>11500</v>
      </c>
      <c r="H64" s="82"/>
      <c r="I64" s="82"/>
      <c r="J64" s="82"/>
      <c r="K64" s="82">
        <f t="shared" si="7"/>
        <v>0</v>
      </c>
      <c r="L64" s="82"/>
      <c r="M64" s="82"/>
      <c r="N64" s="82">
        <f t="shared" si="12"/>
        <v>6843.9049770000001</v>
      </c>
      <c r="O64" s="82"/>
      <c r="P64" s="83">
        <f t="shared" si="11"/>
        <v>6843.9049770000001</v>
      </c>
      <c r="Q64" s="82">
        <v>6843.9049770000001</v>
      </c>
      <c r="R64" s="82"/>
      <c r="S64" s="82"/>
      <c r="T64" s="82"/>
      <c r="U64" s="82">
        <f t="shared" si="14"/>
        <v>0</v>
      </c>
      <c r="V64" s="82"/>
      <c r="W64" s="82"/>
      <c r="X64" s="82"/>
      <c r="Y64" s="82"/>
      <c r="Z64" s="82"/>
      <c r="AA64" s="82"/>
      <c r="AB64" s="84">
        <f t="shared" si="13"/>
        <v>52.6454229</v>
      </c>
      <c r="AC64" s="84"/>
      <c r="AD64" s="84">
        <f t="shared" si="4"/>
        <v>52.6454229</v>
      </c>
      <c r="AE64" s="84"/>
    </row>
    <row r="65" spans="1:31" s="16" customFormat="1" ht="24.75" customHeight="1" x14ac:dyDescent="0.25">
      <c r="A65" s="80" t="s">
        <v>397</v>
      </c>
      <c r="B65" s="90" t="s">
        <v>343</v>
      </c>
      <c r="C65" s="82">
        <f t="shared" si="9"/>
        <v>120</v>
      </c>
      <c r="D65" s="82"/>
      <c r="E65" s="82">
        <f t="shared" si="10"/>
        <v>120</v>
      </c>
      <c r="F65" s="82">
        <v>120</v>
      </c>
      <c r="G65" s="82"/>
      <c r="H65" s="82"/>
      <c r="I65" s="82"/>
      <c r="J65" s="82"/>
      <c r="K65" s="82">
        <f t="shared" si="7"/>
        <v>0</v>
      </c>
      <c r="L65" s="82"/>
      <c r="M65" s="82"/>
      <c r="N65" s="82">
        <f t="shared" si="12"/>
        <v>0</v>
      </c>
      <c r="O65" s="82"/>
      <c r="P65" s="83">
        <f t="shared" si="11"/>
        <v>0</v>
      </c>
      <c r="Q65" s="82"/>
      <c r="R65" s="82"/>
      <c r="S65" s="82"/>
      <c r="T65" s="82"/>
      <c r="U65" s="82">
        <f t="shared" si="14"/>
        <v>0</v>
      </c>
      <c r="V65" s="82"/>
      <c r="W65" s="82"/>
      <c r="X65" s="82"/>
      <c r="Y65" s="82"/>
      <c r="Z65" s="82"/>
      <c r="AA65" s="82"/>
      <c r="AB65" s="84">
        <f t="shared" si="13"/>
        <v>0</v>
      </c>
      <c r="AC65" s="84"/>
      <c r="AD65" s="84">
        <f t="shared" si="4"/>
        <v>0</v>
      </c>
      <c r="AE65" s="84"/>
    </row>
    <row r="66" spans="1:31" s="16" customFormat="1" ht="24.75" customHeight="1" x14ac:dyDescent="0.25">
      <c r="A66" s="80" t="s">
        <v>398</v>
      </c>
      <c r="B66" s="91" t="s">
        <v>530</v>
      </c>
      <c r="C66" s="82">
        <f t="shared" si="9"/>
        <v>120</v>
      </c>
      <c r="D66" s="82"/>
      <c r="E66" s="82">
        <f t="shared" si="10"/>
        <v>120</v>
      </c>
      <c r="F66" s="82">
        <v>120</v>
      </c>
      <c r="G66" s="82"/>
      <c r="H66" s="82"/>
      <c r="I66" s="82"/>
      <c r="J66" s="82"/>
      <c r="K66" s="82">
        <f t="shared" si="7"/>
        <v>0</v>
      </c>
      <c r="L66" s="82"/>
      <c r="M66" s="82"/>
      <c r="N66" s="82">
        <f t="shared" si="12"/>
        <v>0</v>
      </c>
      <c r="O66" s="82"/>
      <c r="P66" s="83">
        <f t="shared" si="11"/>
        <v>0</v>
      </c>
      <c r="Q66" s="82"/>
      <c r="R66" s="82"/>
      <c r="S66" s="82"/>
      <c r="T66" s="82"/>
      <c r="U66" s="82">
        <f t="shared" si="14"/>
        <v>0</v>
      </c>
      <c r="V66" s="82"/>
      <c r="W66" s="82"/>
      <c r="X66" s="82"/>
      <c r="Y66" s="82"/>
      <c r="Z66" s="82"/>
      <c r="AA66" s="82"/>
      <c r="AB66" s="84">
        <f t="shared" si="13"/>
        <v>0</v>
      </c>
      <c r="AC66" s="84"/>
      <c r="AD66" s="84">
        <f t="shared" si="4"/>
        <v>0</v>
      </c>
      <c r="AE66" s="84"/>
    </row>
    <row r="67" spans="1:31" s="16" customFormat="1" ht="24.75" customHeight="1" x14ac:dyDescent="0.25">
      <c r="A67" s="80" t="s">
        <v>399</v>
      </c>
      <c r="B67" s="90" t="s">
        <v>346</v>
      </c>
      <c r="C67" s="82">
        <f t="shared" si="9"/>
        <v>26502.079669999999</v>
      </c>
      <c r="D67" s="82">
        <v>26502.079669999999</v>
      </c>
      <c r="E67" s="82">
        <f t="shared" si="10"/>
        <v>0</v>
      </c>
      <c r="F67" s="82"/>
      <c r="G67" s="82"/>
      <c r="H67" s="82"/>
      <c r="I67" s="82"/>
      <c r="J67" s="82"/>
      <c r="K67" s="82">
        <f t="shared" si="7"/>
        <v>0</v>
      </c>
      <c r="L67" s="82"/>
      <c r="M67" s="82"/>
      <c r="N67" s="82">
        <f t="shared" si="12"/>
        <v>30685.516669999997</v>
      </c>
      <c r="O67" s="82">
        <v>30685.516669999997</v>
      </c>
      <c r="P67" s="83">
        <f t="shared" si="11"/>
        <v>0</v>
      </c>
      <c r="Q67" s="82"/>
      <c r="R67" s="82"/>
      <c r="S67" s="82"/>
      <c r="T67" s="82"/>
      <c r="U67" s="82">
        <f t="shared" si="14"/>
        <v>0</v>
      </c>
      <c r="V67" s="82"/>
      <c r="W67" s="82"/>
      <c r="X67" s="82"/>
      <c r="Y67" s="82"/>
      <c r="Z67" s="82"/>
      <c r="AA67" s="82"/>
      <c r="AB67" s="84">
        <f t="shared" si="13"/>
        <v>115.78531591517171</v>
      </c>
      <c r="AC67" s="84">
        <f t="shared" si="13"/>
        <v>115.78531591517171</v>
      </c>
      <c r="AD67" s="84"/>
      <c r="AE67" s="84"/>
    </row>
    <row r="68" spans="1:31" s="16" customFormat="1" ht="38.25" customHeight="1" x14ac:dyDescent="0.25">
      <c r="A68" s="80" t="s">
        <v>400</v>
      </c>
      <c r="B68" s="233" t="s">
        <v>345</v>
      </c>
      <c r="C68" s="82">
        <f t="shared" si="9"/>
        <v>554951.76</v>
      </c>
      <c r="D68" s="82">
        <v>554951.76</v>
      </c>
      <c r="E68" s="82">
        <f t="shared" si="10"/>
        <v>0</v>
      </c>
      <c r="F68" s="82"/>
      <c r="G68" s="82"/>
      <c r="H68" s="82"/>
      <c r="I68" s="82"/>
      <c r="J68" s="82"/>
      <c r="K68" s="82">
        <f t="shared" si="7"/>
        <v>0</v>
      </c>
      <c r="L68" s="82"/>
      <c r="M68" s="82"/>
      <c r="N68" s="82">
        <f t="shared" si="12"/>
        <v>509545.83216300001</v>
      </c>
      <c r="O68" s="82">
        <v>509545.83216300001</v>
      </c>
      <c r="P68" s="83">
        <f t="shared" si="11"/>
        <v>0</v>
      </c>
      <c r="Q68" s="82"/>
      <c r="R68" s="82"/>
      <c r="S68" s="82"/>
      <c r="T68" s="82"/>
      <c r="U68" s="82">
        <f t="shared" si="14"/>
        <v>0</v>
      </c>
      <c r="V68" s="82"/>
      <c r="W68" s="82"/>
      <c r="X68" s="82"/>
      <c r="Y68" s="82"/>
      <c r="Z68" s="82"/>
      <c r="AA68" s="82"/>
      <c r="AB68" s="84">
        <f t="shared" si="13"/>
        <v>91.818040574013139</v>
      </c>
      <c r="AC68" s="84">
        <f t="shared" si="13"/>
        <v>91.818040574013139</v>
      </c>
      <c r="AD68" s="84"/>
      <c r="AE68" s="84"/>
    </row>
    <row r="69" spans="1:31" s="16" customFormat="1" ht="34.5" customHeight="1" x14ac:dyDescent="0.25">
      <c r="A69" s="80" t="s">
        <v>401</v>
      </c>
      <c r="B69" s="92" t="s">
        <v>531</v>
      </c>
      <c r="C69" s="82">
        <f t="shared" si="9"/>
        <v>60935</v>
      </c>
      <c r="D69" s="82">
        <v>55791</v>
      </c>
      <c r="E69" s="82">
        <f t="shared" si="10"/>
        <v>5144</v>
      </c>
      <c r="F69" s="82"/>
      <c r="G69" s="82"/>
      <c r="H69" s="82">
        <v>5144</v>
      </c>
      <c r="I69" s="82"/>
      <c r="J69" s="82"/>
      <c r="K69" s="82">
        <f t="shared" si="7"/>
        <v>0</v>
      </c>
      <c r="L69" s="82"/>
      <c r="M69" s="82"/>
      <c r="N69" s="82">
        <f t="shared" si="12"/>
        <v>80562.348406000005</v>
      </c>
      <c r="O69" s="82">
        <v>46180.348406000005</v>
      </c>
      <c r="P69" s="83">
        <f t="shared" si="11"/>
        <v>34382</v>
      </c>
      <c r="Q69" s="82">
        <v>34382</v>
      </c>
      <c r="R69" s="82"/>
      <c r="S69" s="82"/>
      <c r="T69" s="82"/>
      <c r="U69" s="82">
        <f t="shared" si="14"/>
        <v>0</v>
      </c>
      <c r="V69" s="82"/>
      <c r="W69" s="82"/>
      <c r="X69" s="82"/>
      <c r="Y69" s="82"/>
      <c r="Z69" s="82"/>
      <c r="AA69" s="82"/>
      <c r="AB69" s="84">
        <f t="shared" si="13"/>
        <v>132.21030344793633</v>
      </c>
      <c r="AC69" s="84">
        <f t="shared" si="13"/>
        <v>82.773831632342151</v>
      </c>
      <c r="AD69" s="84">
        <f t="shared" si="4"/>
        <v>668.39035769828934</v>
      </c>
      <c r="AE69" s="84"/>
    </row>
    <row r="70" spans="1:31" s="16" customFormat="1" ht="39.75" customHeight="1" x14ac:dyDescent="0.25">
      <c r="A70" s="80" t="s">
        <v>402</v>
      </c>
      <c r="B70" s="93" t="s">
        <v>348</v>
      </c>
      <c r="C70" s="82">
        <f t="shared" si="9"/>
        <v>10650</v>
      </c>
      <c r="D70" s="82">
        <v>400</v>
      </c>
      <c r="E70" s="82">
        <f t="shared" si="10"/>
        <v>10250</v>
      </c>
      <c r="F70" s="82">
        <v>10250</v>
      </c>
      <c r="G70" s="82"/>
      <c r="H70" s="82"/>
      <c r="I70" s="82"/>
      <c r="J70" s="82"/>
      <c r="K70" s="82">
        <f t="shared" si="7"/>
        <v>0</v>
      </c>
      <c r="L70" s="82"/>
      <c r="M70" s="82"/>
      <c r="N70" s="82">
        <f t="shared" si="12"/>
        <v>400</v>
      </c>
      <c r="O70" s="82">
        <v>400</v>
      </c>
      <c r="P70" s="83">
        <f t="shared" si="11"/>
        <v>0</v>
      </c>
      <c r="Q70" s="82"/>
      <c r="R70" s="82"/>
      <c r="S70" s="82"/>
      <c r="T70" s="82"/>
      <c r="U70" s="82">
        <f t="shared" si="14"/>
        <v>0</v>
      </c>
      <c r="V70" s="82"/>
      <c r="W70" s="82"/>
      <c r="X70" s="82"/>
      <c r="Y70" s="82"/>
      <c r="Z70" s="82"/>
      <c r="AA70" s="82"/>
      <c r="AB70" s="84">
        <f t="shared" si="13"/>
        <v>3.755868544600939</v>
      </c>
      <c r="AC70" s="84">
        <f t="shared" si="13"/>
        <v>100</v>
      </c>
      <c r="AD70" s="84">
        <f t="shared" si="4"/>
        <v>0</v>
      </c>
      <c r="AE70" s="84"/>
    </row>
    <row r="71" spans="1:31" s="16" customFormat="1" ht="41.25" customHeight="1" x14ac:dyDescent="0.25">
      <c r="A71" s="80" t="s">
        <v>403</v>
      </c>
      <c r="B71" s="234" t="s">
        <v>347</v>
      </c>
      <c r="C71" s="82">
        <f t="shared" si="9"/>
        <v>2514</v>
      </c>
      <c r="D71" s="235">
        <v>2514</v>
      </c>
      <c r="E71" s="82">
        <f t="shared" si="10"/>
        <v>0</v>
      </c>
      <c r="F71" s="82"/>
      <c r="G71" s="82"/>
      <c r="H71" s="82"/>
      <c r="I71" s="82"/>
      <c r="J71" s="82"/>
      <c r="K71" s="82">
        <f t="shared" si="7"/>
        <v>0</v>
      </c>
      <c r="L71" s="82"/>
      <c r="M71" s="82"/>
      <c r="N71" s="82">
        <f t="shared" si="12"/>
        <v>2683.999984</v>
      </c>
      <c r="O71" s="82">
        <v>2683.999984</v>
      </c>
      <c r="P71" s="83">
        <f t="shared" si="11"/>
        <v>0</v>
      </c>
      <c r="Q71" s="82"/>
      <c r="R71" s="82"/>
      <c r="S71" s="82"/>
      <c r="T71" s="82"/>
      <c r="U71" s="82">
        <f t="shared" si="14"/>
        <v>0</v>
      </c>
      <c r="V71" s="82"/>
      <c r="W71" s="82"/>
      <c r="X71" s="82"/>
      <c r="Y71" s="82"/>
      <c r="Z71" s="82"/>
      <c r="AA71" s="82"/>
      <c r="AB71" s="84">
        <f t="shared" si="13"/>
        <v>106.76213142402545</v>
      </c>
      <c r="AC71" s="84">
        <f t="shared" si="13"/>
        <v>106.76213142402545</v>
      </c>
      <c r="AD71" s="84"/>
      <c r="AE71" s="84"/>
    </row>
    <row r="72" spans="1:31" s="16" customFormat="1" ht="41.25" customHeight="1" x14ac:dyDescent="0.25">
      <c r="A72" s="80" t="s">
        <v>404</v>
      </c>
      <c r="B72" s="90" t="s">
        <v>349</v>
      </c>
      <c r="C72" s="82">
        <f t="shared" si="9"/>
        <v>6593</v>
      </c>
      <c r="D72" s="82">
        <v>100</v>
      </c>
      <c r="E72" s="82">
        <f t="shared" si="10"/>
        <v>6493</v>
      </c>
      <c r="F72" s="82">
        <v>6493</v>
      </c>
      <c r="G72" s="82"/>
      <c r="H72" s="82"/>
      <c r="I72" s="82"/>
      <c r="J72" s="82"/>
      <c r="K72" s="82">
        <f t="shared" si="7"/>
        <v>0</v>
      </c>
      <c r="L72" s="82"/>
      <c r="M72" s="82"/>
      <c r="N72" s="82">
        <f t="shared" si="12"/>
        <v>7313.7618769999999</v>
      </c>
      <c r="O72" s="82">
        <v>32.51</v>
      </c>
      <c r="P72" s="83">
        <f t="shared" si="11"/>
        <v>7281.2518769999997</v>
      </c>
      <c r="Q72" s="82">
        <v>7281.2518769999997</v>
      </c>
      <c r="R72" s="82"/>
      <c r="S72" s="82"/>
      <c r="T72" s="82"/>
      <c r="U72" s="82">
        <f t="shared" si="14"/>
        <v>0</v>
      </c>
      <c r="V72" s="82"/>
      <c r="W72" s="82"/>
      <c r="X72" s="82"/>
      <c r="Y72" s="82"/>
      <c r="Z72" s="82"/>
      <c r="AA72" s="82"/>
      <c r="AB72" s="84">
        <f t="shared" si="13"/>
        <v>110.93222928863945</v>
      </c>
      <c r="AC72" s="84">
        <f t="shared" si="13"/>
        <v>32.51</v>
      </c>
      <c r="AD72" s="84">
        <f t="shared" si="4"/>
        <v>112.14002582781455</v>
      </c>
      <c r="AE72" s="84"/>
    </row>
    <row r="73" spans="1:31" s="16" customFormat="1" ht="39.75" customHeight="1" x14ac:dyDescent="0.25">
      <c r="A73" s="80" t="s">
        <v>405</v>
      </c>
      <c r="B73" s="233" t="s">
        <v>532</v>
      </c>
      <c r="C73" s="82">
        <f t="shared" si="9"/>
        <v>91182.8</v>
      </c>
      <c r="D73" s="82">
        <v>91182.8</v>
      </c>
      <c r="E73" s="82">
        <f t="shared" si="10"/>
        <v>0</v>
      </c>
      <c r="F73" s="82"/>
      <c r="G73" s="82"/>
      <c r="H73" s="82"/>
      <c r="I73" s="82"/>
      <c r="J73" s="82"/>
      <c r="K73" s="82">
        <f t="shared" si="7"/>
        <v>0</v>
      </c>
      <c r="L73" s="82"/>
      <c r="M73" s="82"/>
      <c r="N73" s="82">
        <f t="shared" si="12"/>
        <v>37682.909242999995</v>
      </c>
      <c r="O73" s="82">
        <v>37682.909242999995</v>
      </c>
      <c r="P73" s="83">
        <f t="shared" si="11"/>
        <v>0</v>
      </c>
      <c r="Q73" s="82"/>
      <c r="R73" s="82"/>
      <c r="S73" s="82"/>
      <c r="T73" s="82"/>
      <c r="U73" s="82">
        <f t="shared" si="14"/>
        <v>0</v>
      </c>
      <c r="V73" s="82"/>
      <c r="W73" s="82"/>
      <c r="X73" s="82"/>
      <c r="Y73" s="82"/>
      <c r="Z73" s="82"/>
      <c r="AA73" s="82"/>
      <c r="AB73" s="84">
        <f t="shared" si="13"/>
        <v>41.326773517593224</v>
      </c>
      <c r="AC73" s="84">
        <f t="shared" si="13"/>
        <v>41.326773517593224</v>
      </c>
      <c r="AD73" s="84"/>
      <c r="AE73" s="84"/>
    </row>
    <row r="74" spans="1:31" s="16" customFormat="1" ht="24.75" customHeight="1" x14ac:dyDescent="0.25">
      <c r="A74" s="80" t="s">
        <v>406</v>
      </c>
      <c r="B74" s="236" t="s">
        <v>533</v>
      </c>
      <c r="C74" s="82">
        <f t="shared" si="9"/>
        <v>50</v>
      </c>
      <c r="D74" s="82">
        <v>50</v>
      </c>
      <c r="E74" s="82">
        <f t="shared" si="10"/>
        <v>0</v>
      </c>
      <c r="F74" s="82"/>
      <c r="G74" s="82"/>
      <c r="H74" s="82"/>
      <c r="I74" s="82"/>
      <c r="J74" s="82"/>
      <c r="K74" s="82">
        <f t="shared" si="7"/>
        <v>0</v>
      </c>
      <c r="L74" s="82"/>
      <c r="M74" s="82"/>
      <c r="N74" s="82">
        <f t="shared" si="12"/>
        <v>50</v>
      </c>
      <c r="O74" s="82">
        <v>50</v>
      </c>
      <c r="P74" s="83">
        <f t="shared" si="11"/>
        <v>0</v>
      </c>
      <c r="Q74" s="82"/>
      <c r="R74" s="82"/>
      <c r="S74" s="82"/>
      <c r="T74" s="82"/>
      <c r="U74" s="82">
        <f t="shared" si="14"/>
        <v>0</v>
      </c>
      <c r="V74" s="82"/>
      <c r="W74" s="82"/>
      <c r="X74" s="82"/>
      <c r="Y74" s="82"/>
      <c r="Z74" s="82"/>
      <c r="AA74" s="82"/>
      <c r="AB74" s="84">
        <f t="shared" si="13"/>
        <v>100</v>
      </c>
      <c r="AC74" s="84">
        <f t="shared" si="13"/>
        <v>100</v>
      </c>
      <c r="AD74" s="84"/>
      <c r="AE74" s="84"/>
    </row>
    <row r="75" spans="1:31" s="16" customFormat="1" ht="43.5" customHeight="1" x14ac:dyDescent="0.25">
      <c r="A75" s="80" t="s">
        <v>407</v>
      </c>
      <c r="B75" s="90" t="s">
        <v>350</v>
      </c>
      <c r="C75" s="82">
        <f t="shared" si="9"/>
        <v>13624</v>
      </c>
      <c r="D75" s="82">
        <v>13624</v>
      </c>
      <c r="E75" s="82">
        <f t="shared" si="10"/>
        <v>0</v>
      </c>
      <c r="F75" s="82"/>
      <c r="G75" s="82"/>
      <c r="H75" s="82"/>
      <c r="I75" s="82"/>
      <c r="J75" s="82"/>
      <c r="K75" s="82">
        <f t="shared" si="7"/>
        <v>0</v>
      </c>
      <c r="L75" s="82"/>
      <c r="M75" s="82"/>
      <c r="N75" s="82">
        <f t="shared" si="12"/>
        <v>25180.6705</v>
      </c>
      <c r="O75" s="82">
        <v>25180.6705</v>
      </c>
      <c r="P75" s="83">
        <f t="shared" si="11"/>
        <v>0</v>
      </c>
      <c r="Q75" s="82"/>
      <c r="R75" s="82"/>
      <c r="S75" s="82"/>
      <c r="T75" s="82"/>
      <c r="U75" s="82">
        <f t="shared" si="14"/>
        <v>0</v>
      </c>
      <c r="V75" s="82"/>
      <c r="W75" s="82"/>
      <c r="X75" s="82"/>
      <c r="Y75" s="82"/>
      <c r="Z75" s="82"/>
      <c r="AA75" s="82"/>
      <c r="AB75" s="84">
        <f t="shared" si="13"/>
        <v>184.8258257486788</v>
      </c>
      <c r="AC75" s="84">
        <f t="shared" si="13"/>
        <v>184.8258257486788</v>
      </c>
      <c r="AD75" s="84"/>
      <c r="AE75" s="84"/>
    </row>
    <row r="76" spans="1:31" s="16" customFormat="1" ht="32.25" customHeight="1" x14ac:dyDescent="0.25">
      <c r="A76" s="80" t="s">
        <v>408</v>
      </c>
      <c r="B76" s="90" t="s">
        <v>351</v>
      </c>
      <c r="C76" s="82">
        <f t="shared" si="9"/>
        <v>19303.929</v>
      </c>
      <c r="D76" s="82">
        <v>19303.929</v>
      </c>
      <c r="E76" s="82">
        <f t="shared" si="10"/>
        <v>0</v>
      </c>
      <c r="F76" s="82"/>
      <c r="G76" s="82"/>
      <c r="H76" s="82"/>
      <c r="I76" s="82"/>
      <c r="J76" s="82"/>
      <c r="K76" s="82">
        <f t="shared" si="7"/>
        <v>0</v>
      </c>
      <c r="L76" s="82"/>
      <c r="M76" s="82"/>
      <c r="N76" s="82">
        <f t="shared" si="12"/>
        <v>14901.431294000002</v>
      </c>
      <c r="O76" s="82">
        <v>14901.431294000002</v>
      </c>
      <c r="P76" s="83">
        <f t="shared" si="11"/>
        <v>0</v>
      </c>
      <c r="Q76" s="82"/>
      <c r="R76" s="82"/>
      <c r="S76" s="82"/>
      <c r="T76" s="82"/>
      <c r="U76" s="82">
        <f t="shared" si="14"/>
        <v>0</v>
      </c>
      <c r="V76" s="82"/>
      <c r="W76" s="82"/>
      <c r="X76" s="82"/>
      <c r="Y76" s="82"/>
      <c r="Z76" s="82"/>
      <c r="AA76" s="82"/>
      <c r="AB76" s="84">
        <f t="shared" si="13"/>
        <v>77.193773837440048</v>
      </c>
      <c r="AC76" s="84">
        <f t="shared" si="13"/>
        <v>77.193773837440048</v>
      </c>
      <c r="AD76" s="84"/>
      <c r="AE76" s="84"/>
    </row>
    <row r="77" spans="1:31" s="16" customFormat="1" ht="42" customHeight="1" x14ac:dyDescent="0.25">
      <c r="A77" s="80" t="s">
        <v>409</v>
      </c>
      <c r="B77" s="90" t="s">
        <v>352</v>
      </c>
      <c r="C77" s="82">
        <f t="shared" si="9"/>
        <v>30650</v>
      </c>
      <c r="D77" s="82">
        <v>30650</v>
      </c>
      <c r="E77" s="82">
        <f t="shared" si="10"/>
        <v>0</v>
      </c>
      <c r="F77" s="82"/>
      <c r="G77" s="82"/>
      <c r="H77" s="82"/>
      <c r="I77" s="82"/>
      <c r="J77" s="82"/>
      <c r="K77" s="82">
        <f t="shared" si="7"/>
        <v>0</v>
      </c>
      <c r="L77" s="82"/>
      <c r="M77" s="82"/>
      <c r="N77" s="82">
        <f t="shared" si="12"/>
        <v>230229.06599999999</v>
      </c>
      <c r="O77" s="82">
        <v>230229.06599999999</v>
      </c>
      <c r="P77" s="83">
        <f t="shared" si="11"/>
        <v>0</v>
      </c>
      <c r="Q77" s="82"/>
      <c r="R77" s="82"/>
      <c r="S77" s="82"/>
      <c r="T77" s="82"/>
      <c r="U77" s="82">
        <f t="shared" si="14"/>
        <v>0</v>
      </c>
      <c r="V77" s="82"/>
      <c r="W77" s="82"/>
      <c r="X77" s="82"/>
      <c r="Y77" s="82"/>
      <c r="Z77" s="82"/>
      <c r="AA77" s="82"/>
      <c r="AB77" s="84">
        <f t="shared" si="13"/>
        <v>751.15519086460029</v>
      </c>
      <c r="AC77" s="84">
        <f t="shared" si="13"/>
        <v>751.15519086460029</v>
      </c>
      <c r="AD77" s="84"/>
      <c r="AE77" s="84"/>
    </row>
    <row r="78" spans="1:31" s="16" customFormat="1" ht="24.75" customHeight="1" x14ac:dyDescent="0.25">
      <c r="A78" s="80" t="s">
        <v>410</v>
      </c>
      <c r="B78" s="90" t="s">
        <v>353</v>
      </c>
      <c r="C78" s="82">
        <f t="shared" si="9"/>
        <v>49.910000000000004</v>
      </c>
      <c r="D78" s="82">
        <v>49.910000000000004</v>
      </c>
      <c r="E78" s="82">
        <f t="shared" si="10"/>
        <v>0</v>
      </c>
      <c r="F78" s="82"/>
      <c r="G78" s="82"/>
      <c r="H78" s="82"/>
      <c r="I78" s="82"/>
      <c r="J78" s="82"/>
      <c r="K78" s="82">
        <f t="shared" ref="K78:K118" si="15">L78+M78</f>
        <v>0</v>
      </c>
      <c r="L78" s="82"/>
      <c r="M78" s="82"/>
      <c r="N78" s="82">
        <f t="shared" si="12"/>
        <v>6061.5108480000008</v>
      </c>
      <c r="O78" s="82">
        <v>6061.5108480000008</v>
      </c>
      <c r="P78" s="83">
        <f t="shared" si="11"/>
        <v>0</v>
      </c>
      <c r="Q78" s="82"/>
      <c r="R78" s="82"/>
      <c r="S78" s="82"/>
      <c r="T78" s="82"/>
      <c r="U78" s="82">
        <f t="shared" si="14"/>
        <v>0</v>
      </c>
      <c r="V78" s="82"/>
      <c r="W78" s="82"/>
      <c r="X78" s="82"/>
      <c r="Y78" s="82"/>
      <c r="Z78" s="82"/>
      <c r="AA78" s="82"/>
      <c r="AB78" s="84">
        <f t="shared" si="13"/>
        <v>12144.882484472051</v>
      </c>
      <c r="AC78" s="84">
        <f t="shared" si="13"/>
        <v>12144.882484472051</v>
      </c>
      <c r="AD78" s="84"/>
      <c r="AE78" s="84"/>
    </row>
    <row r="79" spans="1:31" s="16" customFormat="1" ht="24.75" customHeight="1" x14ac:dyDescent="0.25">
      <c r="A79" s="80" t="s">
        <v>411</v>
      </c>
      <c r="B79" s="90" t="s">
        <v>354</v>
      </c>
      <c r="C79" s="82">
        <f t="shared" ref="C79:C112" si="16">D79+E79+I79+J79+K79</f>
        <v>326.03999999999996</v>
      </c>
      <c r="D79" s="82">
        <v>326.03999999999996</v>
      </c>
      <c r="E79" s="82">
        <f t="shared" ref="E79:E89" si="17">F79+G79+H79</f>
        <v>0</v>
      </c>
      <c r="F79" s="82"/>
      <c r="G79" s="82"/>
      <c r="H79" s="82"/>
      <c r="I79" s="82"/>
      <c r="J79" s="82"/>
      <c r="K79" s="82">
        <f t="shared" si="15"/>
        <v>0</v>
      </c>
      <c r="L79" s="82"/>
      <c r="M79" s="82"/>
      <c r="N79" s="82">
        <f t="shared" si="12"/>
        <v>326.03999999999996</v>
      </c>
      <c r="O79" s="82">
        <v>326.03999999999996</v>
      </c>
      <c r="P79" s="83">
        <f t="shared" ref="P79:P90" si="18">Q79+R79</f>
        <v>0</v>
      </c>
      <c r="Q79" s="82"/>
      <c r="R79" s="82"/>
      <c r="S79" s="82"/>
      <c r="T79" s="82"/>
      <c r="U79" s="82">
        <f t="shared" si="14"/>
        <v>0</v>
      </c>
      <c r="V79" s="82"/>
      <c r="W79" s="82"/>
      <c r="X79" s="82"/>
      <c r="Y79" s="82"/>
      <c r="Z79" s="82"/>
      <c r="AA79" s="82"/>
      <c r="AB79" s="84">
        <f t="shared" si="13"/>
        <v>100</v>
      </c>
      <c r="AC79" s="84">
        <f t="shared" si="13"/>
        <v>100</v>
      </c>
      <c r="AD79" s="84"/>
      <c r="AE79" s="84"/>
    </row>
    <row r="80" spans="1:31" s="16" customFormat="1" ht="33.75" customHeight="1" x14ac:dyDescent="0.25">
      <c r="A80" s="80" t="s">
        <v>412</v>
      </c>
      <c r="B80" s="90" t="s">
        <v>534</v>
      </c>
      <c r="C80" s="82">
        <f t="shared" si="16"/>
        <v>9740</v>
      </c>
      <c r="D80" s="82"/>
      <c r="E80" s="82">
        <f t="shared" si="17"/>
        <v>9740</v>
      </c>
      <c r="F80" s="82"/>
      <c r="G80" s="82"/>
      <c r="H80" s="82">
        <v>9740</v>
      </c>
      <c r="I80" s="82"/>
      <c r="J80" s="82"/>
      <c r="K80" s="82">
        <f t="shared" si="15"/>
        <v>0</v>
      </c>
      <c r="L80" s="82"/>
      <c r="M80" s="82"/>
      <c r="N80" s="82">
        <f t="shared" ref="N80:N90" si="19">O80+P80+S80+T80+U80</f>
        <v>19177.982877999999</v>
      </c>
      <c r="O80" s="82"/>
      <c r="P80" s="83">
        <f t="shared" si="18"/>
        <v>19177.982877999999</v>
      </c>
      <c r="Q80" s="82"/>
      <c r="R80" s="82">
        <f>134.081403+91+89.616145+97.75279+258.921804+133.065318+128+7937.334546+6704.381632+3603.82924</f>
        <v>19177.982877999999</v>
      </c>
      <c r="S80" s="82"/>
      <c r="T80" s="82"/>
      <c r="U80" s="82">
        <f t="shared" si="14"/>
        <v>0</v>
      </c>
      <c r="V80" s="82"/>
      <c r="W80" s="82"/>
      <c r="X80" s="82"/>
      <c r="Y80" s="82"/>
      <c r="Z80" s="82"/>
      <c r="AA80" s="82"/>
      <c r="AB80" s="84">
        <f t="shared" si="13"/>
        <v>196.89920819301847</v>
      </c>
      <c r="AC80" s="84"/>
      <c r="AD80" s="84">
        <f t="shared" ref="AD80:AD110" si="20">P80/E80%</f>
        <v>196.89920819301847</v>
      </c>
      <c r="AE80" s="84"/>
    </row>
    <row r="81" spans="1:31" s="16" customFormat="1" ht="24.75" customHeight="1" x14ac:dyDescent="0.25">
      <c r="A81" s="80" t="s">
        <v>413</v>
      </c>
      <c r="B81" s="90" t="s">
        <v>355</v>
      </c>
      <c r="C81" s="82">
        <f t="shared" si="16"/>
        <v>0</v>
      </c>
      <c r="D81" s="82"/>
      <c r="E81" s="82">
        <f t="shared" si="17"/>
        <v>0</v>
      </c>
      <c r="F81" s="82"/>
      <c r="G81" s="82"/>
      <c r="H81" s="82"/>
      <c r="I81" s="82"/>
      <c r="J81" s="82"/>
      <c r="K81" s="82">
        <f t="shared" si="15"/>
        <v>0</v>
      </c>
      <c r="L81" s="82"/>
      <c r="M81" s="82"/>
      <c r="N81" s="82">
        <f t="shared" si="19"/>
        <v>0</v>
      </c>
      <c r="O81" s="82"/>
      <c r="P81" s="83">
        <f t="shared" si="18"/>
        <v>0</v>
      </c>
      <c r="Q81" s="82"/>
      <c r="R81" s="82"/>
      <c r="S81" s="82"/>
      <c r="T81" s="82"/>
      <c r="U81" s="82">
        <f t="shared" si="14"/>
        <v>0</v>
      </c>
      <c r="V81" s="82"/>
      <c r="W81" s="82"/>
      <c r="X81" s="82"/>
      <c r="Y81" s="82"/>
      <c r="Z81" s="82"/>
      <c r="AA81" s="82"/>
      <c r="AB81" s="84"/>
      <c r="AC81" s="84"/>
      <c r="AD81" s="84"/>
      <c r="AE81" s="84"/>
    </row>
    <row r="82" spans="1:31" s="16" customFormat="1" ht="24.75" customHeight="1" x14ac:dyDescent="0.25">
      <c r="A82" s="80" t="s">
        <v>414</v>
      </c>
      <c r="B82" s="90" t="s">
        <v>356</v>
      </c>
      <c r="C82" s="82">
        <f t="shared" si="16"/>
        <v>0</v>
      </c>
      <c r="D82" s="82"/>
      <c r="E82" s="82">
        <f t="shared" si="17"/>
        <v>0</v>
      </c>
      <c r="F82" s="82"/>
      <c r="G82" s="82"/>
      <c r="H82" s="82"/>
      <c r="I82" s="82"/>
      <c r="J82" s="82"/>
      <c r="K82" s="82">
        <f t="shared" si="15"/>
        <v>0</v>
      </c>
      <c r="L82" s="82"/>
      <c r="M82" s="82"/>
      <c r="N82" s="82">
        <f t="shared" si="19"/>
        <v>0</v>
      </c>
      <c r="O82" s="82"/>
      <c r="P82" s="83">
        <f t="shared" si="18"/>
        <v>0</v>
      </c>
      <c r="Q82" s="82"/>
      <c r="R82" s="82"/>
      <c r="S82" s="82"/>
      <c r="T82" s="82"/>
      <c r="U82" s="82">
        <f t="shared" si="14"/>
        <v>0</v>
      </c>
      <c r="V82" s="82"/>
      <c r="W82" s="82"/>
      <c r="X82" s="82"/>
      <c r="Y82" s="82"/>
      <c r="Z82" s="82"/>
      <c r="AA82" s="82"/>
      <c r="AB82" s="84"/>
      <c r="AC82" s="84"/>
      <c r="AD82" s="84"/>
      <c r="AE82" s="84"/>
    </row>
    <row r="83" spans="1:31" s="16" customFormat="1" ht="24.75" customHeight="1" x14ac:dyDescent="0.25">
      <c r="A83" s="80" t="s">
        <v>415</v>
      </c>
      <c r="B83" s="92" t="s">
        <v>535</v>
      </c>
      <c r="C83" s="82">
        <f t="shared" si="16"/>
        <v>37981</v>
      </c>
      <c r="D83" s="82"/>
      <c r="E83" s="82">
        <f t="shared" si="17"/>
        <v>37981</v>
      </c>
      <c r="F83" s="82"/>
      <c r="G83" s="82"/>
      <c r="H83" s="82">
        <f>29575+6381+726+1299</f>
        <v>37981</v>
      </c>
      <c r="I83" s="82"/>
      <c r="J83" s="82"/>
      <c r="K83" s="82">
        <f t="shared" si="15"/>
        <v>0</v>
      </c>
      <c r="L83" s="82"/>
      <c r="M83" s="82"/>
      <c r="N83" s="82">
        <f t="shared" si="19"/>
        <v>246561.49835000001</v>
      </c>
      <c r="O83" s="82"/>
      <c r="P83" s="83">
        <f t="shared" si="18"/>
        <v>246561.49835000001</v>
      </c>
      <c r="Q83" s="82"/>
      <c r="R83" s="82">
        <v>246561.49835000001</v>
      </c>
      <c r="S83" s="82"/>
      <c r="T83" s="82"/>
      <c r="U83" s="82">
        <f t="shared" si="14"/>
        <v>0</v>
      </c>
      <c r="V83" s="82"/>
      <c r="W83" s="82"/>
      <c r="X83" s="82"/>
      <c r="Y83" s="82"/>
      <c r="Z83" s="82"/>
      <c r="AA83" s="82"/>
      <c r="AB83" s="84">
        <f t="shared" si="13"/>
        <v>649.17063360627685</v>
      </c>
      <c r="AC83" s="84"/>
      <c r="AD83" s="84">
        <f t="shared" si="20"/>
        <v>649.17063360627685</v>
      </c>
      <c r="AE83" s="84"/>
    </row>
    <row r="84" spans="1:31" s="16" customFormat="1" ht="24.75" customHeight="1" x14ac:dyDescent="0.25">
      <c r="A84" s="80" t="s">
        <v>416</v>
      </c>
      <c r="B84" s="90" t="s">
        <v>357</v>
      </c>
      <c r="C84" s="82">
        <f t="shared" si="16"/>
        <v>0</v>
      </c>
      <c r="D84" s="82"/>
      <c r="E84" s="82">
        <f t="shared" si="17"/>
        <v>0</v>
      </c>
      <c r="F84" s="82"/>
      <c r="G84" s="82"/>
      <c r="H84" s="82"/>
      <c r="I84" s="82"/>
      <c r="J84" s="82"/>
      <c r="K84" s="82">
        <f t="shared" si="15"/>
        <v>0</v>
      </c>
      <c r="L84" s="82"/>
      <c r="M84" s="82"/>
      <c r="N84" s="82">
        <f t="shared" si="19"/>
        <v>0</v>
      </c>
      <c r="O84" s="82"/>
      <c r="P84" s="83">
        <f t="shared" si="18"/>
        <v>0</v>
      </c>
      <c r="Q84" s="82"/>
      <c r="R84" s="82"/>
      <c r="S84" s="82"/>
      <c r="T84" s="82"/>
      <c r="U84" s="82">
        <f t="shared" si="14"/>
        <v>0</v>
      </c>
      <c r="V84" s="82"/>
      <c r="W84" s="82"/>
      <c r="X84" s="82"/>
      <c r="Y84" s="82"/>
      <c r="Z84" s="82"/>
      <c r="AA84" s="82"/>
      <c r="AB84" s="84"/>
      <c r="AC84" s="84"/>
      <c r="AD84" s="84"/>
      <c r="AE84" s="84"/>
    </row>
    <row r="85" spans="1:31" s="16" customFormat="1" ht="24.75" customHeight="1" x14ac:dyDescent="0.25">
      <c r="A85" s="80" t="s">
        <v>417</v>
      </c>
      <c r="B85" s="90" t="s">
        <v>358</v>
      </c>
      <c r="C85" s="82">
        <f t="shared" si="16"/>
        <v>0</v>
      </c>
      <c r="D85" s="82"/>
      <c r="E85" s="82">
        <f t="shared" si="17"/>
        <v>0</v>
      </c>
      <c r="F85" s="82"/>
      <c r="G85" s="82"/>
      <c r="H85" s="82"/>
      <c r="I85" s="82"/>
      <c r="J85" s="82"/>
      <c r="K85" s="82">
        <f t="shared" si="15"/>
        <v>0</v>
      </c>
      <c r="L85" s="82"/>
      <c r="M85" s="82"/>
      <c r="N85" s="82">
        <f t="shared" si="19"/>
        <v>0</v>
      </c>
      <c r="O85" s="82"/>
      <c r="P85" s="83">
        <f t="shared" si="18"/>
        <v>0</v>
      </c>
      <c r="Q85" s="82"/>
      <c r="R85" s="82"/>
      <c r="S85" s="82"/>
      <c r="T85" s="82"/>
      <c r="U85" s="82">
        <f t="shared" si="14"/>
        <v>0</v>
      </c>
      <c r="V85" s="82"/>
      <c r="W85" s="82"/>
      <c r="X85" s="82"/>
      <c r="Y85" s="82"/>
      <c r="Z85" s="82"/>
      <c r="AA85" s="82"/>
      <c r="AB85" s="84"/>
      <c r="AC85" s="84"/>
      <c r="AD85" s="84"/>
      <c r="AE85" s="84"/>
    </row>
    <row r="86" spans="1:31" s="16" customFormat="1" ht="24.75" customHeight="1" x14ac:dyDescent="0.25">
      <c r="A86" s="80" t="s">
        <v>418</v>
      </c>
      <c r="B86" s="90" t="s">
        <v>359</v>
      </c>
      <c r="C86" s="82">
        <f t="shared" si="16"/>
        <v>0</v>
      </c>
      <c r="D86" s="82"/>
      <c r="E86" s="82">
        <f t="shared" si="17"/>
        <v>0</v>
      </c>
      <c r="F86" s="82"/>
      <c r="G86" s="82"/>
      <c r="H86" s="82"/>
      <c r="I86" s="82"/>
      <c r="J86" s="82"/>
      <c r="K86" s="82">
        <f t="shared" si="15"/>
        <v>0</v>
      </c>
      <c r="L86" s="82"/>
      <c r="M86" s="82"/>
      <c r="N86" s="82">
        <f t="shared" si="19"/>
        <v>0</v>
      </c>
      <c r="O86" s="82"/>
      <c r="P86" s="83">
        <f t="shared" si="18"/>
        <v>0</v>
      </c>
      <c r="Q86" s="82"/>
      <c r="R86" s="82"/>
      <c r="S86" s="82"/>
      <c r="T86" s="82"/>
      <c r="U86" s="82">
        <f t="shared" si="14"/>
        <v>0</v>
      </c>
      <c r="V86" s="82"/>
      <c r="W86" s="82"/>
      <c r="X86" s="82"/>
      <c r="Y86" s="82"/>
      <c r="Z86" s="82"/>
      <c r="AA86" s="82"/>
      <c r="AB86" s="84"/>
      <c r="AC86" s="84"/>
      <c r="AD86" s="84"/>
      <c r="AE86" s="84"/>
    </row>
    <row r="87" spans="1:31" s="16" customFormat="1" ht="24.75" customHeight="1" x14ac:dyDescent="0.25">
      <c r="A87" s="80" t="s">
        <v>419</v>
      </c>
      <c r="B87" s="90" t="s">
        <v>360</v>
      </c>
      <c r="C87" s="82">
        <f t="shared" si="16"/>
        <v>0</v>
      </c>
      <c r="D87" s="82"/>
      <c r="E87" s="82">
        <f t="shared" si="17"/>
        <v>0</v>
      </c>
      <c r="F87" s="82"/>
      <c r="G87" s="82"/>
      <c r="H87" s="82"/>
      <c r="I87" s="82"/>
      <c r="J87" s="82"/>
      <c r="K87" s="82">
        <f t="shared" si="15"/>
        <v>0</v>
      </c>
      <c r="L87" s="82"/>
      <c r="M87" s="82"/>
      <c r="N87" s="82">
        <f t="shared" si="19"/>
        <v>0</v>
      </c>
      <c r="O87" s="82"/>
      <c r="P87" s="83">
        <f t="shared" si="18"/>
        <v>0</v>
      </c>
      <c r="Q87" s="82"/>
      <c r="R87" s="82"/>
      <c r="S87" s="82"/>
      <c r="T87" s="82"/>
      <c r="U87" s="82">
        <f t="shared" si="14"/>
        <v>0</v>
      </c>
      <c r="V87" s="82"/>
      <c r="W87" s="82"/>
      <c r="X87" s="82"/>
      <c r="Y87" s="82"/>
      <c r="Z87" s="82"/>
      <c r="AA87" s="82"/>
      <c r="AB87" s="84"/>
      <c r="AC87" s="84"/>
      <c r="AD87" s="84"/>
      <c r="AE87" s="84"/>
    </row>
    <row r="88" spans="1:31" s="16" customFormat="1" ht="24.75" customHeight="1" x14ac:dyDescent="0.25">
      <c r="A88" s="80" t="s">
        <v>420</v>
      </c>
      <c r="B88" s="90" t="s">
        <v>361</v>
      </c>
      <c r="C88" s="82">
        <f t="shared" si="16"/>
        <v>958</v>
      </c>
      <c r="D88" s="82"/>
      <c r="E88" s="82">
        <f t="shared" si="17"/>
        <v>958</v>
      </c>
      <c r="F88" s="82"/>
      <c r="G88" s="82"/>
      <c r="H88" s="82">
        <v>958</v>
      </c>
      <c r="I88" s="82"/>
      <c r="J88" s="82"/>
      <c r="K88" s="82">
        <f t="shared" si="15"/>
        <v>0</v>
      </c>
      <c r="L88" s="82"/>
      <c r="M88" s="82"/>
      <c r="N88" s="82">
        <f t="shared" si="19"/>
        <v>0</v>
      </c>
      <c r="O88" s="82"/>
      <c r="P88" s="83">
        <f t="shared" si="18"/>
        <v>0</v>
      </c>
      <c r="Q88" s="82"/>
      <c r="R88" s="82"/>
      <c r="S88" s="82"/>
      <c r="T88" s="82"/>
      <c r="U88" s="82">
        <f t="shared" si="14"/>
        <v>0</v>
      </c>
      <c r="V88" s="82"/>
      <c r="W88" s="82"/>
      <c r="X88" s="82"/>
      <c r="Y88" s="82"/>
      <c r="Z88" s="82"/>
      <c r="AA88" s="82"/>
      <c r="AB88" s="84"/>
      <c r="AC88" s="84"/>
      <c r="AD88" s="84">
        <f t="shared" si="20"/>
        <v>0</v>
      </c>
      <c r="AE88" s="84"/>
    </row>
    <row r="89" spans="1:31" s="16" customFormat="1" ht="49.5" customHeight="1" x14ac:dyDescent="0.25">
      <c r="A89" s="80" t="s">
        <v>536</v>
      </c>
      <c r="B89" s="90" t="s">
        <v>362</v>
      </c>
      <c r="C89" s="82">
        <f t="shared" si="16"/>
        <v>1656</v>
      </c>
      <c r="D89" s="82"/>
      <c r="E89" s="82">
        <f t="shared" si="17"/>
        <v>1656</v>
      </c>
      <c r="F89" s="82"/>
      <c r="G89" s="82">
        <v>668</v>
      </c>
      <c r="H89" s="82">
        <v>988</v>
      </c>
      <c r="I89" s="82"/>
      <c r="J89" s="82"/>
      <c r="K89" s="82"/>
      <c r="L89" s="82"/>
      <c r="M89" s="82"/>
      <c r="N89" s="82"/>
      <c r="O89" s="82"/>
      <c r="P89" s="83">
        <f t="shared" si="18"/>
        <v>0</v>
      </c>
      <c r="Q89" s="82"/>
      <c r="R89" s="82"/>
      <c r="S89" s="82"/>
      <c r="T89" s="82"/>
      <c r="U89" s="82"/>
      <c r="V89" s="82"/>
      <c r="W89" s="82"/>
      <c r="X89" s="82"/>
      <c r="Y89" s="82"/>
      <c r="Z89" s="82"/>
      <c r="AA89" s="82"/>
      <c r="AB89" s="84"/>
      <c r="AC89" s="84"/>
      <c r="AD89" s="84">
        <f t="shared" si="20"/>
        <v>0</v>
      </c>
      <c r="AE89" s="84"/>
    </row>
    <row r="90" spans="1:31" s="16" customFormat="1" ht="37.5" customHeight="1" x14ac:dyDescent="0.25">
      <c r="A90" s="80" t="s">
        <v>537</v>
      </c>
      <c r="B90" s="90" t="s">
        <v>538</v>
      </c>
      <c r="C90" s="82">
        <f t="shared" si="16"/>
        <v>820252.01133000001</v>
      </c>
      <c r="D90" s="82">
        <v>820252.01133000001</v>
      </c>
      <c r="E90" s="82">
        <f>F90+G90+H90</f>
        <v>0</v>
      </c>
      <c r="F90" s="82"/>
      <c r="G90" s="82"/>
      <c r="H90" s="82"/>
      <c r="I90" s="82"/>
      <c r="J90" s="82"/>
      <c r="K90" s="82">
        <f t="shared" si="15"/>
        <v>0</v>
      </c>
      <c r="L90" s="82"/>
      <c r="M90" s="82"/>
      <c r="N90" s="82">
        <f t="shared" si="19"/>
        <v>52387.741642000001</v>
      </c>
      <c r="O90" s="82">
        <f>42004.990421+9596</f>
        <v>51600.990421000002</v>
      </c>
      <c r="P90" s="83">
        <f t="shared" si="18"/>
        <v>786.75122099999999</v>
      </c>
      <c r="Q90" s="82"/>
      <c r="R90" s="82">
        <f>15+18+16+14+13+13+19+537.751221+13+108+20</f>
        <v>786.75122099999999</v>
      </c>
      <c r="S90" s="82"/>
      <c r="T90" s="82"/>
      <c r="U90" s="82">
        <f t="shared" si="14"/>
        <v>0</v>
      </c>
      <c r="V90" s="82"/>
      <c r="W90" s="82"/>
      <c r="X90" s="82"/>
      <c r="Y90" s="82"/>
      <c r="Z90" s="82"/>
      <c r="AA90" s="82"/>
      <c r="AB90" s="84">
        <f t="shared" si="13"/>
        <v>6.3867861240663997</v>
      </c>
      <c r="AC90" s="84">
        <f t="shared" si="13"/>
        <v>6.290870331098783</v>
      </c>
      <c r="AD90" s="84"/>
      <c r="AE90" s="84"/>
    </row>
    <row r="91" spans="1:31" s="46" customFormat="1" ht="58.5" customHeight="1" x14ac:dyDescent="0.25">
      <c r="A91" s="94" t="s">
        <v>363</v>
      </c>
      <c r="B91" s="95" t="s">
        <v>364</v>
      </c>
      <c r="C91" s="76">
        <f t="shared" si="16"/>
        <v>385185.23499999999</v>
      </c>
      <c r="D91" s="76">
        <f>SUM(D92:D102)</f>
        <v>385185.23499999999</v>
      </c>
      <c r="E91" s="76">
        <f t="shared" ref="E91" si="21">SUM(E92:E101)</f>
        <v>0</v>
      </c>
      <c r="F91" s="76"/>
      <c r="G91" s="76"/>
      <c r="H91" s="76"/>
      <c r="I91" s="76">
        <f>SUM(I92:I101)</f>
        <v>0</v>
      </c>
      <c r="J91" s="76">
        <f>SUM(J92:J101)</f>
        <v>0</v>
      </c>
      <c r="K91" s="76">
        <f t="shared" si="15"/>
        <v>0</v>
      </c>
      <c r="L91" s="76">
        <f>SUM(L92:L102)</f>
        <v>0</v>
      </c>
      <c r="M91" s="76">
        <f>SUM(M92:M101)</f>
        <v>0</v>
      </c>
      <c r="N91" s="76">
        <f>O91+P91+S91+T91+U91</f>
        <v>380660.08185799996</v>
      </c>
      <c r="O91" s="76">
        <f>SUM(O92:O102)</f>
        <v>344089.47438899998</v>
      </c>
      <c r="P91" s="76"/>
      <c r="Q91" s="76"/>
      <c r="R91" s="76"/>
      <c r="S91" s="76"/>
      <c r="T91" s="76"/>
      <c r="U91" s="76">
        <f t="shared" ref="U91" si="22">SUM(U92:U101)</f>
        <v>36570.607468999995</v>
      </c>
      <c r="V91" s="76">
        <f>SUM(V92:V102)</f>
        <v>36570.607468999995</v>
      </c>
      <c r="W91" s="76"/>
      <c r="X91" s="76">
        <f t="shared" ref="X91:Z91" si="23">SUM(X92:X102)</f>
        <v>0</v>
      </c>
      <c r="Y91" s="76">
        <f t="shared" si="23"/>
        <v>0</v>
      </c>
      <c r="Z91" s="76">
        <f t="shared" si="23"/>
        <v>0</v>
      </c>
      <c r="AA91" s="76"/>
      <c r="AB91" s="84">
        <f t="shared" ref="AB91:AC116" si="24">N91/C91%</f>
        <v>98.825200778529322</v>
      </c>
      <c r="AC91" s="84">
        <f t="shared" si="24"/>
        <v>89.330909682714093</v>
      </c>
      <c r="AD91" s="84"/>
      <c r="AE91" s="84"/>
    </row>
    <row r="92" spans="1:31" s="16" customFormat="1" x14ac:dyDescent="0.25">
      <c r="A92" s="96" t="s">
        <v>259</v>
      </c>
      <c r="B92" s="97" t="s">
        <v>365</v>
      </c>
      <c r="C92" s="82">
        <f t="shared" si="16"/>
        <v>5678.8280000000004</v>
      </c>
      <c r="D92" s="83">
        <v>5678.8280000000004</v>
      </c>
      <c r="E92" s="83"/>
      <c r="F92" s="83"/>
      <c r="G92" s="83"/>
      <c r="H92" s="83"/>
      <c r="I92" s="83"/>
      <c r="J92" s="83"/>
      <c r="K92" s="82">
        <f t="shared" si="15"/>
        <v>0</v>
      </c>
      <c r="L92" s="83"/>
      <c r="M92" s="83"/>
      <c r="N92" s="82">
        <f t="shared" ref="N92:N99" si="25">O92+P92+S92+T92+U92</f>
        <v>6332.4467159999995</v>
      </c>
      <c r="O92" s="83">
        <v>6332.4467159999995</v>
      </c>
      <c r="P92" s="83"/>
      <c r="Q92" s="83"/>
      <c r="R92" s="83"/>
      <c r="S92" s="83"/>
      <c r="T92" s="83"/>
      <c r="U92" s="82">
        <f t="shared" ref="U92:U101" si="26">V92+W92</f>
        <v>0</v>
      </c>
      <c r="V92" s="83"/>
      <c r="W92" s="83"/>
      <c r="X92" s="82">
        <f t="shared" ref="X92:X101" si="27">Y92+Z92</f>
        <v>0</v>
      </c>
      <c r="Y92" s="82"/>
      <c r="Z92" s="82"/>
      <c r="AA92" s="82"/>
      <c r="AB92" s="84">
        <f t="shared" si="24"/>
        <v>111.50974665899369</v>
      </c>
      <c r="AC92" s="84">
        <f t="shared" si="24"/>
        <v>111.50974665899369</v>
      </c>
      <c r="AD92" s="84"/>
      <c r="AE92" s="84"/>
    </row>
    <row r="93" spans="1:31" s="16" customFormat="1" x14ac:dyDescent="0.25">
      <c r="A93" s="96" t="s">
        <v>261</v>
      </c>
      <c r="B93" s="97" t="s">
        <v>366</v>
      </c>
      <c r="C93" s="82">
        <f t="shared" si="16"/>
        <v>5950.3130000000001</v>
      </c>
      <c r="D93" s="83">
        <v>5950.3130000000001</v>
      </c>
      <c r="E93" s="83"/>
      <c r="F93" s="83"/>
      <c r="G93" s="83"/>
      <c r="H93" s="83"/>
      <c r="I93" s="83"/>
      <c r="J93" s="83"/>
      <c r="K93" s="82">
        <f t="shared" si="15"/>
        <v>0</v>
      </c>
      <c r="L93" s="83"/>
      <c r="M93" s="83"/>
      <c r="N93" s="82">
        <f t="shared" si="25"/>
        <v>18744.647000000001</v>
      </c>
      <c r="O93" s="83">
        <v>18744.647000000001</v>
      </c>
      <c r="P93" s="83"/>
      <c r="Q93" s="83"/>
      <c r="R93" s="83"/>
      <c r="S93" s="83"/>
      <c r="T93" s="83"/>
      <c r="U93" s="82">
        <f t="shared" si="26"/>
        <v>0</v>
      </c>
      <c r="V93" s="83"/>
      <c r="W93" s="83"/>
      <c r="X93" s="82">
        <f t="shared" si="27"/>
        <v>0</v>
      </c>
      <c r="Y93" s="82"/>
      <c r="Z93" s="82"/>
      <c r="AA93" s="82"/>
      <c r="AB93" s="84">
        <f t="shared" si="24"/>
        <v>315.01951241892658</v>
      </c>
      <c r="AC93" s="84">
        <f t="shared" si="24"/>
        <v>315.01951241892658</v>
      </c>
      <c r="AD93" s="84"/>
      <c r="AE93" s="84"/>
    </row>
    <row r="94" spans="1:31" s="16" customFormat="1" x14ac:dyDescent="0.25">
      <c r="A94" s="96" t="s">
        <v>263</v>
      </c>
      <c r="B94" s="97" t="s">
        <v>367</v>
      </c>
      <c r="C94" s="82">
        <f t="shared" si="16"/>
        <v>50795</v>
      </c>
      <c r="D94" s="83">
        <v>50795</v>
      </c>
      <c r="E94" s="83"/>
      <c r="F94" s="83"/>
      <c r="G94" s="83"/>
      <c r="H94" s="83"/>
      <c r="I94" s="83"/>
      <c r="J94" s="83"/>
      <c r="K94" s="82">
        <f t="shared" si="15"/>
        <v>0</v>
      </c>
      <c r="L94" s="83"/>
      <c r="M94" s="83"/>
      <c r="N94" s="82">
        <f t="shared" si="25"/>
        <v>73703.502382999999</v>
      </c>
      <c r="O94" s="83">
        <v>61930.565769000001</v>
      </c>
      <c r="P94" s="83"/>
      <c r="Q94" s="83"/>
      <c r="R94" s="83"/>
      <c r="S94" s="83"/>
      <c r="T94" s="83"/>
      <c r="U94" s="82">
        <f t="shared" si="26"/>
        <v>11772.936614</v>
      </c>
      <c r="V94" s="83">
        <v>11772.936614</v>
      </c>
      <c r="W94" s="83"/>
      <c r="X94" s="82">
        <f t="shared" si="27"/>
        <v>0</v>
      </c>
      <c r="Y94" s="82"/>
      <c r="Z94" s="82"/>
      <c r="AA94" s="82"/>
      <c r="AB94" s="84">
        <f t="shared" si="24"/>
        <v>145.09991610000984</v>
      </c>
      <c r="AC94" s="84">
        <f t="shared" si="24"/>
        <v>121.92256278964466</v>
      </c>
      <c r="AD94" s="84"/>
      <c r="AE94" s="84"/>
    </row>
    <row r="95" spans="1:31" s="16" customFormat="1" x14ac:dyDescent="0.25">
      <c r="A95" s="96" t="s">
        <v>265</v>
      </c>
      <c r="B95" s="97" t="s">
        <v>368</v>
      </c>
      <c r="C95" s="82">
        <f t="shared" si="16"/>
        <v>122782.913</v>
      </c>
      <c r="D95" s="83">
        <v>122782.913</v>
      </c>
      <c r="E95" s="83"/>
      <c r="F95" s="83"/>
      <c r="G95" s="83"/>
      <c r="H95" s="83"/>
      <c r="I95" s="83"/>
      <c r="J95" s="83"/>
      <c r="K95" s="82">
        <f t="shared" si="15"/>
        <v>0</v>
      </c>
      <c r="L95" s="83"/>
      <c r="M95" s="83"/>
      <c r="N95" s="82">
        <f t="shared" si="25"/>
        <v>117971.10799999999</v>
      </c>
      <c r="O95" s="83">
        <v>117971.10799999999</v>
      </c>
      <c r="P95" s="83"/>
      <c r="Q95" s="83"/>
      <c r="R95" s="83"/>
      <c r="S95" s="83"/>
      <c r="T95" s="83"/>
      <c r="U95" s="82">
        <f t="shared" si="26"/>
        <v>0</v>
      </c>
      <c r="V95" s="83">
        <v>0</v>
      </c>
      <c r="W95" s="83"/>
      <c r="X95" s="82">
        <f t="shared" si="27"/>
        <v>0</v>
      </c>
      <c r="Y95" s="82"/>
      <c r="Z95" s="82"/>
      <c r="AA95" s="82"/>
      <c r="AB95" s="84">
        <f t="shared" si="24"/>
        <v>96.081046716980879</v>
      </c>
      <c r="AC95" s="84">
        <f t="shared" si="24"/>
        <v>96.081046716980879</v>
      </c>
      <c r="AD95" s="84"/>
      <c r="AE95" s="84"/>
    </row>
    <row r="96" spans="1:31" s="16" customFormat="1" x14ac:dyDescent="0.25">
      <c r="A96" s="96" t="s">
        <v>267</v>
      </c>
      <c r="B96" s="97" t="s">
        <v>369</v>
      </c>
      <c r="C96" s="82">
        <f t="shared" si="16"/>
        <v>48400</v>
      </c>
      <c r="D96" s="83">
        <v>48400</v>
      </c>
      <c r="E96" s="83"/>
      <c r="F96" s="83"/>
      <c r="G96" s="83"/>
      <c r="H96" s="83"/>
      <c r="I96" s="83"/>
      <c r="J96" s="83"/>
      <c r="K96" s="82">
        <f t="shared" si="15"/>
        <v>0</v>
      </c>
      <c r="L96" s="83"/>
      <c r="M96" s="83"/>
      <c r="N96" s="82">
        <f t="shared" si="25"/>
        <v>9896.1823089999998</v>
      </c>
      <c r="O96" s="83">
        <v>9896.1823089999998</v>
      </c>
      <c r="P96" s="83"/>
      <c r="Q96" s="83"/>
      <c r="R96" s="83"/>
      <c r="S96" s="83"/>
      <c r="T96" s="83"/>
      <c r="U96" s="82">
        <f t="shared" si="26"/>
        <v>0</v>
      </c>
      <c r="V96" s="83">
        <v>0</v>
      </c>
      <c r="W96" s="83"/>
      <c r="X96" s="82">
        <f t="shared" si="27"/>
        <v>0</v>
      </c>
      <c r="Y96" s="82"/>
      <c r="Z96" s="82"/>
      <c r="AA96" s="82"/>
      <c r="AB96" s="84">
        <f t="shared" si="24"/>
        <v>20.446657663223139</v>
      </c>
      <c r="AC96" s="84">
        <f t="shared" si="24"/>
        <v>20.446657663223139</v>
      </c>
      <c r="AD96" s="84"/>
      <c r="AE96" s="84"/>
    </row>
    <row r="97" spans="1:38" s="16" customFormat="1" x14ac:dyDescent="0.25">
      <c r="A97" s="96" t="s">
        <v>269</v>
      </c>
      <c r="B97" s="97" t="s">
        <v>370</v>
      </c>
      <c r="C97" s="82">
        <f t="shared" si="16"/>
        <v>500</v>
      </c>
      <c r="D97" s="83">
        <v>500</v>
      </c>
      <c r="E97" s="83"/>
      <c r="F97" s="83"/>
      <c r="G97" s="83"/>
      <c r="H97" s="83"/>
      <c r="I97" s="83"/>
      <c r="J97" s="83"/>
      <c r="K97" s="82">
        <f t="shared" si="15"/>
        <v>0</v>
      </c>
      <c r="L97" s="83"/>
      <c r="M97" s="83"/>
      <c r="N97" s="82">
        <f t="shared" si="25"/>
        <v>0</v>
      </c>
      <c r="O97" s="83"/>
      <c r="P97" s="83"/>
      <c r="Q97" s="83"/>
      <c r="R97" s="83"/>
      <c r="S97" s="83"/>
      <c r="T97" s="83"/>
      <c r="U97" s="82">
        <f t="shared" si="26"/>
        <v>0</v>
      </c>
      <c r="V97" s="83">
        <v>0</v>
      </c>
      <c r="W97" s="83"/>
      <c r="X97" s="82">
        <f t="shared" si="27"/>
        <v>0</v>
      </c>
      <c r="Y97" s="82"/>
      <c r="Z97" s="82"/>
      <c r="AA97" s="82"/>
      <c r="AB97" s="84">
        <f t="shared" si="24"/>
        <v>0</v>
      </c>
      <c r="AC97" s="84">
        <f t="shared" si="24"/>
        <v>0</v>
      </c>
      <c r="AD97" s="84"/>
      <c r="AE97" s="84"/>
    </row>
    <row r="98" spans="1:38" s="16" customFormat="1" x14ac:dyDescent="0.25">
      <c r="A98" s="96" t="s">
        <v>271</v>
      </c>
      <c r="B98" s="97" t="s">
        <v>371</v>
      </c>
      <c r="C98" s="82">
        <f t="shared" si="16"/>
        <v>74852</v>
      </c>
      <c r="D98" s="83">
        <v>74852</v>
      </c>
      <c r="E98" s="83"/>
      <c r="F98" s="83"/>
      <c r="G98" s="83"/>
      <c r="H98" s="83"/>
      <c r="I98" s="83"/>
      <c r="J98" s="83"/>
      <c r="K98" s="82">
        <f t="shared" si="15"/>
        <v>0</v>
      </c>
      <c r="L98" s="83"/>
      <c r="M98" s="83"/>
      <c r="N98" s="82">
        <f t="shared" si="25"/>
        <v>71369.936602000002</v>
      </c>
      <c r="O98" s="83">
        <v>70068.1587</v>
      </c>
      <c r="P98" s="83"/>
      <c r="Q98" s="83"/>
      <c r="R98" s="83"/>
      <c r="S98" s="83"/>
      <c r="T98" s="83"/>
      <c r="U98" s="82">
        <f t="shared" si="26"/>
        <v>1301.777902</v>
      </c>
      <c r="V98" s="83">
        <v>1301.777902</v>
      </c>
      <c r="W98" s="83"/>
      <c r="X98" s="82">
        <f t="shared" si="27"/>
        <v>0</v>
      </c>
      <c r="Y98" s="82"/>
      <c r="Z98" s="82"/>
      <c r="AA98" s="82"/>
      <c r="AB98" s="84">
        <f t="shared" si="24"/>
        <v>95.348068992144505</v>
      </c>
      <c r="AC98" s="84">
        <f t="shared" si="24"/>
        <v>93.608933228237063</v>
      </c>
      <c r="AD98" s="84"/>
      <c r="AE98" s="84"/>
      <c r="AI98" s="46"/>
      <c r="AJ98" s="46"/>
      <c r="AK98" s="46"/>
      <c r="AL98" s="46"/>
    </row>
    <row r="99" spans="1:38" s="16" customFormat="1" x14ac:dyDescent="0.25">
      <c r="A99" s="96" t="s">
        <v>273</v>
      </c>
      <c r="B99" s="97" t="s">
        <v>372</v>
      </c>
      <c r="C99" s="82">
        <f t="shared" si="16"/>
        <v>58814.180999999997</v>
      </c>
      <c r="D99" s="83">
        <v>58814.180999999997</v>
      </c>
      <c r="E99" s="83"/>
      <c r="F99" s="83"/>
      <c r="G99" s="83"/>
      <c r="H99" s="83"/>
      <c r="I99" s="83"/>
      <c r="J99" s="83"/>
      <c r="K99" s="82">
        <f t="shared" si="15"/>
        <v>0</v>
      </c>
      <c r="L99" s="83"/>
      <c r="M99" s="83"/>
      <c r="N99" s="82">
        <f t="shared" si="25"/>
        <v>37109.549999999996</v>
      </c>
      <c r="O99" s="83">
        <v>37109.549999999996</v>
      </c>
      <c r="P99" s="83"/>
      <c r="Q99" s="83"/>
      <c r="R99" s="83"/>
      <c r="S99" s="83"/>
      <c r="T99" s="83"/>
      <c r="U99" s="82">
        <f t="shared" si="26"/>
        <v>0</v>
      </c>
      <c r="V99" s="83">
        <v>0</v>
      </c>
      <c r="W99" s="83"/>
      <c r="X99" s="82">
        <f t="shared" si="27"/>
        <v>0</v>
      </c>
      <c r="Y99" s="82"/>
      <c r="Z99" s="82"/>
      <c r="AA99" s="82"/>
      <c r="AB99" s="84">
        <f t="shared" si="24"/>
        <v>63.09626244731691</v>
      </c>
      <c r="AC99" s="84">
        <f t="shared" si="24"/>
        <v>63.09626244731691</v>
      </c>
      <c r="AD99" s="84"/>
      <c r="AE99" s="84"/>
      <c r="AI99" s="46"/>
      <c r="AJ99" s="46"/>
      <c r="AK99" s="46"/>
      <c r="AL99" s="46"/>
    </row>
    <row r="100" spans="1:38" s="16" customFormat="1" x14ac:dyDescent="0.25">
      <c r="A100" s="96" t="s">
        <v>274</v>
      </c>
      <c r="B100" s="97" t="s">
        <v>373</v>
      </c>
      <c r="C100" s="82">
        <f>D100+E100+I100+J100+K100</f>
        <v>16911.999999999996</v>
      </c>
      <c r="D100" s="83">
        <v>16911.999999999996</v>
      </c>
      <c r="E100" s="83"/>
      <c r="F100" s="83"/>
      <c r="G100" s="83"/>
      <c r="H100" s="83"/>
      <c r="I100" s="83"/>
      <c r="J100" s="83"/>
      <c r="K100" s="82">
        <f t="shared" si="15"/>
        <v>0</v>
      </c>
      <c r="L100" s="83"/>
      <c r="M100" s="83"/>
      <c r="N100" s="82">
        <f t="shared" ref="N100:N101" si="28">O100+P100+S100+T100+U100+X100</f>
        <v>23495.892952999999</v>
      </c>
      <c r="O100" s="83">
        <v>0</v>
      </c>
      <c r="P100" s="83"/>
      <c r="Q100" s="83"/>
      <c r="R100" s="83"/>
      <c r="S100" s="83"/>
      <c r="T100" s="83"/>
      <c r="U100" s="82">
        <f t="shared" si="26"/>
        <v>23495.892952999999</v>
      </c>
      <c r="V100" s="83">
        <v>23495.892952999999</v>
      </c>
      <c r="W100" s="83"/>
      <c r="X100" s="82">
        <f t="shared" si="27"/>
        <v>0</v>
      </c>
      <c r="Y100" s="82"/>
      <c r="Z100" s="82"/>
      <c r="AA100" s="82"/>
      <c r="AB100" s="84">
        <f t="shared" si="24"/>
        <v>138.93030364829707</v>
      </c>
      <c r="AC100" s="84">
        <f t="shared" si="24"/>
        <v>0</v>
      </c>
      <c r="AD100" s="84"/>
      <c r="AE100" s="84"/>
      <c r="AI100" s="46"/>
      <c r="AJ100" s="46"/>
      <c r="AK100" s="46"/>
      <c r="AL100" s="46"/>
    </row>
    <row r="101" spans="1:38" s="16" customFormat="1" x14ac:dyDescent="0.25">
      <c r="A101" s="96" t="s">
        <v>276</v>
      </c>
      <c r="B101" s="97" t="s">
        <v>374</v>
      </c>
      <c r="C101" s="82">
        <f t="shared" si="16"/>
        <v>500</v>
      </c>
      <c r="D101" s="83">
        <v>500</v>
      </c>
      <c r="E101" s="83"/>
      <c r="F101" s="83"/>
      <c r="G101" s="83"/>
      <c r="H101" s="83"/>
      <c r="I101" s="83"/>
      <c r="J101" s="83"/>
      <c r="K101" s="82">
        <f t="shared" si="15"/>
        <v>0</v>
      </c>
      <c r="L101" s="83"/>
      <c r="M101" s="83"/>
      <c r="N101" s="82">
        <f t="shared" si="28"/>
        <v>22036.815895</v>
      </c>
      <c r="O101" s="83">
        <v>22036.815895</v>
      </c>
      <c r="P101" s="83"/>
      <c r="Q101" s="83"/>
      <c r="R101" s="83"/>
      <c r="S101" s="83"/>
      <c r="T101" s="83"/>
      <c r="U101" s="82">
        <f t="shared" si="26"/>
        <v>0</v>
      </c>
      <c r="V101" s="83"/>
      <c r="W101" s="83"/>
      <c r="X101" s="82">
        <f t="shared" si="27"/>
        <v>0</v>
      </c>
      <c r="Y101" s="82"/>
      <c r="Z101" s="82"/>
      <c r="AA101" s="82"/>
      <c r="AB101" s="84">
        <f t="shared" si="24"/>
        <v>4407.3631789999999</v>
      </c>
      <c r="AC101" s="84">
        <f t="shared" si="24"/>
        <v>4407.3631789999999</v>
      </c>
      <c r="AD101" s="84"/>
      <c r="AE101" s="84"/>
      <c r="AI101" s="46"/>
      <c r="AJ101" s="46"/>
      <c r="AK101" s="46"/>
      <c r="AL101" s="46"/>
    </row>
    <row r="102" spans="1:38" s="16" customFormat="1" x14ac:dyDescent="0.25">
      <c r="A102" s="96">
        <v>11</v>
      </c>
      <c r="B102" s="97" t="s">
        <v>375</v>
      </c>
      <c r="C102" s="82">
        <f t="shared" si="16"/>
        <v>0</v>
      </c>
      <c r="D102" s="83"/>
      <c r="E102" s="83"/>
      <c r="F102" s="83"/>
      <c r="G102" s="83"/>
      <c r="H102" s="83"/>
      <c r="I102" s="83"/>
      <c r="J102" s="83"/>
      <c r="K102" s="82">
        <f t="shared" si="15"/>
        <v>0</v>
      </c>
      <c r="L102" s="83"/>
      <c r="M102" s="83"/>
      <c r="N102" s="82"/>
      <c r="O102" s="83"/>
      <c r="P102" s="83"/>
      <c r="Q102" s="83"/>
      <c r="R102" s="83"/>
      <c r="S102" s="83"/>
      <c r="T102" s="83"/>
      <c r="U102" s="82"/>
      <c r="V102" s="83"/>
      <c r="W102" s="83"/>
      <c r="X102" s="82"/>
      <c r="Y102" s="82"/>
      <c r="Z102" s="82"/>
      <c r="AA102" s="82"/>
      <c r="AB102" s="84"/>
      <c r="AC102" s="84"/>
      <c r="AD102" s="84"/>
      <c r="AE102" s="84"/>
      <c r="AI102" s="46"/>
      <c r="AJ102" s="46"/>
      <c r="AK102" s="46"/>
      <c r="AL102" s="46"/>
    </row>
    <row r="103" spans="1:38" s="46" customFormat="1" x14ac:dyDescent="0.25">
      <c r="A103" s="94" t="s">
        <v>25</v>
      </c>
      <c r="B103" s="98" t="s">
        <v>376</v>
      </c>
      <c r="C103" s="76">
        <f>D103+E103+I103+J103+K103</f>
        <v>73328</v>
      </c>
      <c r="D103" s="99"/>
      <c r="E103" s="99">
        <f>E104+E105+E106+E107+E109+E108+E110</f>
        <v>73328</v>
      </c>
      <c r="F103" s="99">
        <f>F104+F105+F106+F107+F109+F108+F110</f>
        <v>73328</v>
      </c>
      <c r="G103" s="99"/>
      <c r="H103" s="99"/>
      <c r="I103" s="99"/>
      <c r="J103" s="99"/>
      <c r="K103" s="76"/>
      <c r="L103" s="99"/>
      <c r="M103" s="99"/>
      <c r="N103" s="76"/>
      <c r="O103" s="99"/>
      <c r="P103" s="99"/>
      <c r="Q103" s="99"/>
      <c r="R103" s="99"/>
      <c r="S103" s="99"/>
      <c r="T103" s="99"/>
      <c r="U103" s="76"/>
      <c r="V103" s="99"/>
      <c r="W103" s="99"/>
      <c r="X103" s="76"/>
      <c r="Y103" s="76"/>
      <c r="Z103" s="76"/>
      <c r="AA103" s="76"/>
      <c r="AB103" s="84"/>
      <c r="AC103" s="84"/>
      <c r="AD103" s="84">
        <f t="shared" si="20"/>
        <v>0</v>
      </c>
      <c r="AE103" s="84"/>
    </row>
    <row r="104" spans="1:38" s="46" customFormat="1" x14ac:dyDescent="0.25">
      <c r="A104" s="94"/>
      <c r="B104" s="97" t="s">
        <v>377</v>
      </c>
      <c r="C104" s="82">
        <f>D104+E104+I104+J104+K104</f>
        <v>3256</v>
      </c>
      <c r="D104" s="83"/>
      <c r="E104" s="83">
        <f>F104+G104+H104</f>
        <v>3256</v>
      </c>
      <c r="F104" s="83">
        <v>3256</v>
      </c>
      <c r="G104" s="99"/>
      <c r="H104" s="99"/>
      <c r="I104" s="99"/>
      <c r="J104" s="99"/>
      <c r="K104" s="76"/>
      <c r="L104" s="99"/>
      <c r="M104" s="99"/>
      <c r="N104" s="76"/>
      <c r="O104" s="99"/>
      <c r="P104" s="99"/>
      <c r="Q104" s="99"/>
      <c r="R104" s="99"/>
      <c r="S104" s="99"/>
      <c r="T104" s="99"/>
      <c r="U104" s="76"/>
      <c r="V104" s="99"/>
      <c r="W104" s="99"/>
      <c r="X104" s="76"/>
      <c r="Y104" s="76"/>
      <c r="Z104" s="76"/>
      <c r="AA104" s="76"/>
      <c r="AB104" s="84"/>
      <c r="AC104" s="84"/>
      <c r="AD104" s="84">
        <f t="shared" si="20"/>
        <v>0</v>
      </c>
      <c r="AE104" s="84"/>
    </row>
    <row r="105" spans="1:38" s="46" customFormat="1" ht="31.5" x14ac:dyDescent="0.25">
      <c r="A105" s="94"/>
      <c r="B105" s="97" t="s">
        <v>539</v>
      </c>
      <c r="C105" s="82">
        <f>D105+E105+I105+J105+K105</f>
        <v>5000</v>
      </c>
      <c r="D105" s="83"/>
      <c r="E105" s="83">
        <f>F105+G105+H105</f>
        <v>5000</v>
      </c>
      <c r="F105" s="83">
        <v>5000</v>
      </c>
      <c r="G105" s="99"/>
      <c r="H105" s="99"/>
      <c r="I105" s="99"/>
      <c r="J105" s="99"/>
      <c r="K105" s="76"/>
      <c r="L105" s="99"/>
      <c r="M105" s="99"/>
      <c r="N105" s="76"/>
      <c r="O105" s="99"/>
      <c r="P105" s="99"/>
      <c r="Q105" s="99"/>
      <c r="R105" s="99"/>
      <c r="S105" s="99"/>
      <c r="T105" s="99"/>
      <c r="U105" s="76"/>
      <c r="V105" s="99"/>
      <c r="W105" s="99"/>
      <c r="X105" s="76"/>
      <c r="Y105" s="76"/>
      <c r="Z105" s="76"/>
      <c r="AA105" s="76"/>
      <c r="AB105" s="84"/>
      <c r="AC105" s="84"/>
      <c r="AD105" s="84">
        <f t="shared" si="20"/>
        <v>0</v>
      </c>
      <c r="AE105" s="84"/>
    </row>
    <row r="106" spans="1:38" s="46" customFormat="1" x14ac:dyDescent="0.25">
      <c r="A106" s="94"/>
      <c r="B106" s="97" t="s">
        <v>378</v>
      </c>
      <c r="C106" s="82">
        <f t="shared" ref="C106:C110" si="29">D106+E106+I106+J106+K106</f>
        <v>6000</v>
      </c>
      <c r="D106" s="83"/>
      <c r="E106" s="83">
        <f t="shared" ref="E106:E110" si="30">F106+G106+H106</f>
        <v>6000</v>
      </c>
      <c r="F106" s="83">
        <v>6000</v>
      </c>
      <c r="G106" s="99"/>
      <c r="H106" s="99"/>
      <c r="I106" s="99"/>
      <c r="J106" s="99"/>
      <c r="K106" s="76"/>
      <c r="L106" s="99"/>
      <c r="M106" s="99"/>
      <c r="N106" s="76"/>
      <c r="O106" s="99"/>
      <c r="P106" s="99"/>
      <c r="Q106" s="99"/>
      <c r="R106" s="99"/>
      <c r="S106" s="99"/>
      <c r="T106" s="99"/>
      <c r="U106" s="76"/>
      <c r="V106" s="99"/>
      <c r="W106" s="99"/>
      <c r="X106" s="76"/>
      <c r="Y106" s="76"/>
      <c r="Z106" s="76"/>
      <c r="AA106" s="76"/>
      <c r="AB106" s="84"/>
      <c r="AC106" s="84"/>
      <c r="AD106" s="84">
        <f t="shared" si="20"/>
        <v>0</v>
      </c>
      <c r="AE106" s="84"/>
    </row>
    <row r="107" spans="1:38" s="46" customFormat="1" x14ac:dyDescent="0.25">
      <c r="A107" s="94"/>
      <c r="B107" s="97" t="s">
        <v>540</v>
      </c>
      <c r="C107" s="82">
        <f t="shared" si="29"/>
        <v>5000</v>
      </c>
      <c r="D107" s="83"/>
      <c r="E107" s="83">
        <f t="shared" si="30"/>
        <v>5000</v>
      </c>
      <c r="F107" s="83">
        <v>5000</v>
      </c>
      <c r="G107" s="99"/>
      <c r="H107" s="99"/>
      <c r="I107" s="99"/>
      <c r="J107" s="99"/>
      <c r="K107" s="76"/>
      <c r="L107" s="99"/>
      <c r="M107" s="99"/>
      <c r="N107" s="76"/>
      <c r="O107" s="99"/>
      <c r="P107" s="99"/>
      <c r="Q107" s="99"/>
      <c r="R107" s="99"/>
      <c r="S107" s="99"/>
      <c r="T107" s="99"/>
      <c r="U107" s="76"/>
      <c r="V107" s="99"/>
      <c r="W107" s="99"/>
      <c r="X107" s="76"/>
      <c r="Y107" s="76"/>
      <c r="Z107" s="76"/>
      <c r="AA107" s="76"/>
      <c r="AB107" s="84"/>
      <c r="AC107" s="84"/>
      <c r="AD107" s="84">
        <f t="shared" si="20"/>
        <v>0</v>
      </c>
      <c r="AE107" s="84"/>
    </row>
    <row r="108" spans="1:38" s="46" customFormat="1" x14ac:dyDescent="0.25">
      <c r="A108" s="94"/>
      <c r="B108" s="97" t="s">
        <v>541</v>
      </c>
      <c r="C108" s="82">
        <f t="shared" si="29"/>
        <v>10000</v>
      </c>
      <c r="D108" s="83"/>
      <c r="E108" s="83">
        <f t="shared" si="30"/>
        <v>10000</v>
      </c>
      <c r="F108" s="83">
        <v>10000</v>
      </c>
      <c r="G108" s="99"/>
      <c r="H108" s="99"/>
      <c r="I108" s="99"/>
      <c r="J108" s="99"/>
      <c r="K108" s="76"/>
      <c r="L108" s="99"/>
      <c r="M108" s="99"/>
      <c r="N108" s="76"/>
      <c r="O108" s="99"/>
      <c r="P108" s="99"/>
      <c r="Q108" s="99"/>
      <c r="R108" s="99"/>
      <c r="S108" s="99"/>
      <c r="T108" s="99"/>
      <c r="U108" s="76"/>
      <c r="V108" s="99"/>
      <c r="W108" s="99"/>
      <c r="X108" s="76"/>
      <c r="Y108" s="76"/>
      <c r="Z108" s="76"/>
      <c r="AA108" s="76"/>
      <c r="AB108" s="84"/>
      <c r="AC108" s="84"/>
      <c r="AD108" s="84">
        <f t="shared" si="20"/>
        <v>0</v>
      </c>
      <c r="AE108" s="84"/>
    </row>
    <row r="109" spans="1:38" s="46" customFormat="1" x14ac:dyDescent="0.25">
      <c r="A109" s="94"/>
      <c r="B109" s="97" t="s">
        <v>379</v>
      </c>
      <c r="C109" s="82">
        <f t="shared" si="29"/>
        <v>44072</v>
      </c>
      <c r="D109" s="83"/>
      <c r="E109" s="83">
        <f t="shared" si="30"/>
        <v>44072</v>
      </c>
      <c r="F109" s="83">
        <f>47919-3847</f>
        <v>44072</v>
      </c>
      <c r="G109" s="99"/>
      <c r="H109" s="99"/>
      <c r="I109" s="99"/>
      <c r="J109" s="99"/>
      <c r="K109" s="76"/>
      <c r="L109" s="99"/>
      <c r="M109" s="99"/>
      <c r="N109" s="76"/>
      <c r="O109" s="99"/>
      <c r="P109" s="99"/>
      <c r="Q109" s="99"/>
      <c r="R109" s="99"/>
      <c r="S109" s="99"/>
      <c r="T109" s="99"/>
      <c r="U109" s="76"/>
      <c r="V109" s="99"/>
      <c r="W109" s="99"/>
      <c r="X109" s="76"/>
      <c r="Y109" s="76"/>
      <c r="Z109" s="76"/>
      <c r="AA109" s="76"/>
      <c r="AB109" s="84"/>
      <c r="AC109" s="84"/>
      <c r="AD109" s="84">
        <f t="shared" si="20"/>
        <v>0</v>
      </c>
      <c r="AE109" s="84"/>
    </row>
    <row r="110" spans="1:38" s="46" customFormat="1" hidden="1" x14ac:dyDescent="0.25">
      <c r="A110" s="94"/>
      <c r="B110" s="97"/>
      <c r="C110" s="82">
        <f t="shared" si="29"/>
        <v>0</v>
      </c>
      <c r="D110" s="99"/>
      <c r="E110" s="83">
        <f t="shared" si="30"/>
        <v>0</v>
      </c>
      <c r="F110" s="83"/>
      <c r="G110" s="99"/>
      <c r="H110" s="99"/>
      <c r="I110" s="99"/>
      <c r="J110" s="99"/>
      <c r="K110" s="76"/>
      <c r="L110" s="99"/>
      <c r="M110" s="99"/>
      <c r="N110" s="76"/>
      <c r="O110" s="99"/>
      <c r="P110" s="99"/>
      <c r="Q110" s="99"/>
      <c r="R110" s="99"/>
      <c r="S110" s="99"/>
      <c r="T110" s="99"/>
      <c r="U110" s="76"/>
      <c r="V110" s="99"/>
      <c r="W110" s="99"/>
      <c r="X110" s="76"/>
      <c r="Y110" s="76"/>
      <c r="Z110" s="76"/>
      <c r="AA110" s="76"/>
      <c r="AB110" s="84" t="e">
        <f t="shared" si="24"/>
        <v>#DIV/0!</v>
      </c>
      <c r="AC110" s="84" t="e">
        <f t="shared" si="24"/>
        <v>#DIV/0!</v>
      </c>
      <c r="AD110" s="84" t="e">
        <f t="shared" si="20"/>
        <v>#DIV/0!</v>
      </c>
      <c r="AE110" s="84"/>
    </row>
    <row r="111" spans="1:38" s="46" customFormat="1" ht="68.25" customHeight="1" x14ac:dyDescent="0.25">
      <c r="A111" s="100" t="s">
        <v>29</v>
      </c>
      <c r="B111" s="101" t="s">
        <v>542</v>
      </c>
      <c r="C111" s="76">
        <f t="shared" si="16"/>
        <v>2000</v>
      </c>
      <c r="D111" s="99"/>
      <c r="E111" s="99"/>
      <c r="F111" s="99"/>
      <c r="G111" s="99"/>
      <c r="H111" s="99"/>
      <c r="I111" s="99">
        <v>2000</v>
      </c>
      <c r="J111" s="99"/>
      <c r="K111" s="76">
        <f t="shared" si="15"/>
        <v>0</v>
      </c>
      <c r="L111" s="99"/>
      <c r="M111" s="99"/>
      <c r="N111" s="76">
        <f t="shared" ref="N111:N117" si="31">O111+P111+S111+T111+U111+X111</f>
        <v>9500.851999999999</v>
      </c>
      <c r="O111" s="99"/>
      <c r="P111" s="99"/>
      <c r="Q111" s="99"/>
      <c r="R111" s="99"/>
      <c r="S111" s="99">
        <f>'[1]bieu 53_'!G25</f>
        <v>9500.851999999999</v>
      </c>
      <c r="T111" s="99"/>
      <c r="U111" s="76">
        <f t="shared" ref="U111:U118" si="32">V111+W111</f>
        <v>0</v>
      </c>
      <c r="V111" s="99"/>
      <c r="W111" s="99"/>
      <c r="X111" s="76">
        <f>Y111+Z111</f>
        <v>0</v>
      </c>
      <c r="Y111" s="99"/>
      <c r="Z111" s="99"/>
      <c r="AA111" s="99"/>
      <c r="AB111" s="84">
        <f t="shared" si="24"/>
        <v>475.04259999999994</v>
      </c>
      <c r="AC111" s="84"/>
      <c r="AD111" s="84"/>
      <c r="AE111" s="84"/>
    </row>
    <row r="112" spans="1:38" s="46" customFormat="1" ht="21" customHeight="1" x14ac:dyDescent="0.25">
      <c r="A112" s="100" t="s">
        <v>56</v>
      </c>
      <c r="B112" s="101" t="s">
        <v>380</v>
      </c>
      <c r="C112" s="76">
        <f t="shared" si="16"/>
        <v>1000</v>
      </c>
      <c r="D112" s="99"/>
      <c r="E112" s="99"/>
      <c r="F112" s="99"/>
      <c r="G112" s="99"/>
      <c r="H112" s="99"/>
      <c r="I112" s="99"/>
      <c r="J112" s="76">
        <v>1000</v>
      </c>
      <c r="K112" s="76">
        <f t="shared" si="15"/>
        <v>0</v>
      </c>
      <c r="L112" s="99"/>
      <c r="M112" s="99"/>
      <c r="N112" s="76">
        <f t="shared" si="31"/>
        <v>1000</v>
      </c>
      <c r="O112" s="99"/>
      <c r="P112" s="99">
        <f>Q112+R112</f>
        <v>0</v>
      </c>
      <c r="Q112" s="99"/>
      <c r="R112" s="99"/>
      <c r="S112" s="99"/>
      <c r="T112" s="99">
        <f>'[1]bieu 53_'!G26</f>
        <v>1000</v>
      </c>
      <c r="U112" s="76">
        <f t="shared" si="32"/>
        <v>0</v>
      </c>
      <c r="V112" s="99"/>
      <c r="W112" s="99"/>
      <c r="X112" s="76">
        <f>Y112+Z112</f>
        <v>0</v>
      </c>
      <c r="Y112" s="99"/>
      <c r="Z112" s="99"/>
      <c r="AA112" s="99"/>
      <c r="AB112" s="84">
        <f t="shared" si="24"/>
        <v>100</v>
      </c>
      <c r="AC112" s="84"/>
      <c r="AD112" s="84"/>
      <c r="AE112" s="84"/>
      <c r="AI112" s="9"/>
      <c r="AJ112" s="9"/>
      <c r="AK112" s="9"/>
      <c r="AL112" s="9"/>
    </row>
    <row r="113" spans="1:38" s="46" customFormat="1" x14ac:dyDescent="0.25">
      <c r="A113" s="100" t="s">
        <v>73</v>
      </c>
      <c r="B113" s="101" t="s">
        <v>381</v>
      </c>
      <c r="C113" s="76">
        <f>D113+J113+I113+E113+K113</f>
        <v>66785</v>
      </c>
      <c r="D113" s="99"/>
      <c r="F113" s="99"/>
      <c r="G113" s="99"/>
      <c r="H113" s="99"/>
      <c r="I113" s="99"/>
      <c r="J113" s="99">
        <v>66785</v>
      </c>
      <c r="K113" s="76">
        <f t="shared" si="15"/>
        <v>0</v>
      </c>
      <c r="L113" s="99"/>
      <c r="M113" s="99"/>
      <c r="N113" s="76">
        <f t="shared" si="31"/>
        <v>0</v>
      </c>
      <c r="O113" s="99"/>
      <c r="P113" s="99"/>
      <c r="Q113" s="99"/>
      <c r="R113" s="99"/>
      <c r="S113" s="99"/>
      <c r="T113" s="99"/>
      <c r="U113" s="76">
        <f t="shared" si="32"/>
        <v>0</v>
      </c>
      <c r="V113" s="99"/>
      <c r="W113" s="99"/>
      <c r="X113" s="76">
        <f>Y113+Z113</f>
        <v>0</v>
      </c>
      <c r="Y113" s="99"/>
      <c r="Z113" s="99"/>
      <c r="AA113" s="99"/>
      <c r="AB113" s="84">
        <f t="shared" si="24"/>
        <v>0</v>
      </c>
      <c r="AC113" s="84"/>
      <c r="AD113" s="84"/>
      <c r="AE113" s="84"/>
      <c r="AI113" s="9"/>
      <c r="AJ113" s="9"/>
      <c r="AK113" s="9"/>
      <c r="AL113" s="9"/>
    </row>
    <row r="114" spans="1:38" s="46" customFormat="1" ht="31.5" x14ac:dyDescent="0.25">
      <c r="A114" s="100" t="s">
        <v>74</v>
      </c>
      <c r="B114" s="101" t="s">
        <v>543</v>
      </c>
      <c r="C114" s="76">
        <f>D114+J114+I114+E114+K114</f>
        <v>39000</v>
      </c>
      <c r="D114" s="99"/>
      <c r="F114" s="99"/>
      <c r="G114" s="99"/>
      <c r="H114" s="99"/>
      <c r="I114" s="99"/>
      <c r="J114" s="99">
        <v>39000</v>
      </c>
      <c r="K114" s="76"/>
      <c r="L114" s="99"/>
      <c r="M114" s="99"/>
      <c r="N114" s="76">
        <f t="shared" si="31"/>
        <v>0</v>
      </c>
      <c r="O114" s="99"/>
      <c r="P114" s="99"/>
      <c r="Q114" s="99"/>
      <c r="R114" s="99"/>
      <c r="S114" s="99"/>
      <c r="T114" s="99"/>
      <c r="U114" s="76"/>
      <c r="V114" s="99"/>
      <c r="W114" s="99"/>
      <c r="X114" s="76"/>
      <c r="Y114" s="99"/>
      <c r="Z114" s="99"/>
      <c r="AA114" s="99"/>
      <c r="AB114" s="84">
        <f t="shared" si="24"/>
        <v>0</v>
      </c>
      <c r="AC114" s="84"/>
      <c r="AD114" s="84"/>
      <c r="AE114" s="84"/>
      <c r="AI114" s="9"/>
      <c r="AJ114" s="9"/>
      <c r="AK114" s="9"/>
      <c r="AL114" s="9"/>
    </row>
    <row r="115" spans="1:38" s="46" customFormat="1" ht="31.5" x14ac:dyDescent="0.25">
      <c r="A115" s="100" t="s">
        <v>383</v>
      </c>
      <c r="B115" s="101" t="s">
        <v>544</v>
      </c>
      <c r="C115" s="76">
        <f t="shared" ref="C115:C118" si="33">D115+J115+I115+E115+K115</f>
        <v>0</v>
      </c>
      <c r="D115" s="99"/>
      <c r="F115" s="99"/>
      <c r="G115" s="99"/>
      <c r="H115" s="99"/>
      <c r="I115" s="99"/>
      <c r="J115" s="99"/>
      <c r="K115" s="76"/>
      <c r="L115" s="99"/>
      <c r="M115" s="99"/>
      <c r="N115" s="76">
        <f t="shared" si="31"/>
        <v>11900</v>
      </c>
      <c r="O115" s="99"/>
      <c r="P115" s="99"/>
      <c r="Q115" s="99"/>
      <c r="R115" s="99"/>
      <c r="S115" s="99"/>
      <c r="T115" s="99">
        <v>11900</v>
      </c>
      <c r="U115" s="76"/>
      <c r="V115" s="99"/>
      <c r="W115" s="99"/>
      <c r="X115" s="76"/>
      <c r="Y115" s="99"/>
      <c r="Z115" s="99"/>
      <c r="AA115" s="99"/>
      <c r="AB115" s="84"/>
      <c r="AC115" s="84"/>
      <c r="AD115" s="84"/>
      <c r="AE115" s="84"/>
      <c r="AI115" s="9"/>
      <c r="AJ115" s="9"/>
      <c r="AK115" s="9"/>
      <c r="AL115" s="9"/>
    </row>
    <row r="116" spans="1:38" s="46" customFormat="1" ht="31.5" x14ac:dyDescent="0.25">
      <c r="A116" s="100" t="s">
        <v>384</v>
      </c>
      <c r="B116" s="101" t="s">
        <v>382</v>
      </c>
      <c r="C116" s="76">
        <f t="shared" si="33"/>
        <v>359544</v>
      </c>
      <c r="D116" s="99"/>
      <c r="E116" s="99"/>
      <c r="F116" s="99"/>
      <c r="G116" s="99"/>
      <c r="H116" s="99"/>
      <c r="I116" s="99"/>
      <c r="J116" s="76">
        <v>359544</v>
      </c>
      <c r="K116" s="76">
        <f t="shared" si="15"/>
        <v>0</v>
      </c>
      <c r="L116" s="99"/>
      <c r="M116" s="99"/>
      <c r="N116" s="76">
        <f t="shared" si="31"/>
        <v>533490.10800000001</v>
      </c>
      <c r="O116" s="99"/>
      <c r="P116" s="99"/>
      <c r="Q116" s="99"/>
      <c r="R116" s="99"/>
      <c r="S116" s="99"/>
      <c r="T116" s="99">
        <v>533490.10800000001</v>
      </c>
      <c r="U116" s="76">
        <f t="shared" si="32"/>
        <v>0</v>
      </c>
      <c r="V116" s="99"/>
      <c r="W116" s="99"/>
      <c r="X116" s="76"/>
      <c r="Y116" s="99"/>
      <c r="Z116" s="99"/>
      <c r="AA116" s="99"/>
      <c r="AB116" s="84">
        <f t="shared" si="24"/>
        <v>148.37964421600694</v>
      </c>
      <c r="AC116" s="84"/>
      <c r="AD116" s="84"/>
      <c r="AE116" s="84"/>
      <c r="AI116" s="9"/>
      <c r="AJ116" s="9"/>
      <c r="AK116" s="9"/>
      <c r="AL116" s="9"/>
    </row>
    <row r="117" spans="1:38" s="46" customFormat="1" ht="31.5" x14ac:dyDescent="0.25">
      <c r="A117" s="102" t="s">
        <v>509</v>
      </c>
      <c r="B117" s="103" t="s">
        <v>102</v>
      </c>
      <c r="C117" s="76">
        <f t="shared" si="33"/>
        <v>0</v>
      </c>
      <c r="D117" s="105"/>
      <c r="E117" s="105"/>
      <c r="F117" s="105"/>
      <c r="G117" s="105"/>
      <c r="H117" s="105"/>
      <c r="I117" s="105"/>
      <c r="J117" s="105"/>
      <c r="K117" s="104">
        <f t="shared" si="15"/>
        <v>0</v>
      </c>
      <c r="L117" s="105"/>
      <c r="M117" s="105"/>
      <c r="N117" s="76">
        <f t="shared" si="31"/>
        <v>1326874.6171550001</v>
      </c>
      <c r="O117" s="105"/>
      <c r="P117" s="105"/>
      <c r="Q117" s="105"/>
      <c r="R117" s="105"/>
      <c r="S117" s="105"/>
      <c r="T117" s="105"/>
      <c r="U117" s="104">
        <f t="shared" si="32"/>
        <v>0</v>
      </c>
      <c r="V117" s="105"/>
      <c r="W117" s="105"/>
      <c r="X117" s="105">
        <f>'[1]bieu 53_'!G106</f>
        <v>1326874.6171550001</v>
      </c>
      <c r="Y117" s="105"/>
      <c r="Z117" s="105"/>
      <c r="AA117" s="105"/>
      <c r="AB117" s="84"/>
      <c r="AC117" s="84"/>
      <c r="AD117" s="84"/>
      <c r="AE117" s="84"/>
      <c r="AI117" s="9"/>
      <c r="AJ117" s="9"/>
      <c r="AK117" s="9"/>
      <c r="AL117" s="9"/>
    </row>
    <row r="118" spans="1:38" x14ac:dyDescent="0.25">
      <c r="A118" s="106" t="s">
        <v>545</v>
      </c>
      <c r="B118" s="107" t="s">
        <v>226</v>
      </c>
      <c r="C118" s="108">
        <f t="shared" si="33"/>
        <v>0</v>
      </c>
      <c r="D118" s="109"/>
      <c r="E118" s="109"/>
      <c r="F118" s="109"/>
      <c r="G118" s="109"/>
      <c r="H118" s="109"/>
      <c r="I118" s="109"/>
      <c r="J118" s="109"/>
      <c r="K118" s="108">
        <f t="shared" si="15"/>
        <v>0</v>
      </c>
      <c r="L118" s="109"/>
      <c r="M118" s="109"/>
      <c r="N118" s="108">
        <f>O118+P118+S118+T118+U118+X118+AA118</f>
        <v>331567.81606899999</v>
      </c>
      <c r="O118" s="109"/>
      <c r="P118" s="109"/>
      <c r="Q118" s="109"/>
      <c r="R118" s="109"/>
      <c r="S118" s="109"/>
      <c r="T118" s="109"/>
      <c r="U118" s="108">
        <f t="shared" si="32"/>
        <v>0</v>
      </c>
      <c r="V118" s="109"/>
      <c r="W118" s="109"/>
      <c r="X118" s="109"/>
      <c r="Y118" s="109"/>
      <c r="Z118" s="109"/>
      <c r="AA118" s="109">
        <f>'[1]bieu 53_'!G107</f>
        <v>331567.81606899999</v>
      </c>
      <c r="AB118" s="110"/>
      <c r="AC118" s="110"/>
      <c r="AD118" s="110"/>
      <c r="AE118" s="110"/>
    </row>
    <row r="119" spans="1:38" ht="51" customHeight="1" x14ac:dyDescent="0.25"/>
    <row r="120" spans="1:38" x14ac:dyDescent="0.25">
      <c r="B120" s="368"/>
      <c r="C120" s="368"/>
      <c r="D120" s="368"/>
      <c r="E120" s="368"/>
      <c r="F120" s="368"/>
      <c r="G120" s="368"/>
      <c r="H120" s="368"/>
      <c r="I120" s="368"/>
      <c r="J120" s="368"/>
      <c r="K120" s="368"/>
      <c r="L120" s="368"/>
      <c r="M120" s="368"/>
      <c r="N120" s="368"/>
      <c r="O120" s="368"/>
      <c r="P120" s="368"/>
      <c r="Q120" s="368"/>
      <c r="R120" s="368"/>
      <c r="S120" s="368"/>
      <c r="T120" s="368"/>
      <c r="U120" s="368"/>
      <c r="V120" s="368"/>
      <c r="W120" s="368"/>
      <c r="X120" s="368"/>
      <c r="Y120" s="368"/>
      <c r="Z120" s="368"/>
      <c r="AA120" s="368"/>
      <c r="AB120" s="368"/>
      <c r="AC120" s="368"/>
      <c r="AD120" s="368"/>
      <c r="AE120" s="368"/>
    </row>
    <row r="123" spans="1:38" x14ac:dyDescent="0.25">
      <c r="N123" s="6"/>
    </row>
  </sheetData>
  <mergeCells count="33">
    <mergeCell ref="A7:A9"/>
    <mergeCell ref="B7:B9"/>
    <mergeCell ref="C7:M7"/>
    <mergeCell ref="N7:X7"/>
    <mergeCell ref="AB7:AE7"/>
    <mergeCell ref="Q8:R8"/>
    <mergeCell ref="C8:C9"/>
    <mergeCell ref="D8:D9"/>
    <mergeCell ref="E8:E9"/>
    <mergeCell ref="F8:F9"/>
    <mergeCell ref="G8:H8"/>
    <mergeCell ref="I8:I9"/>
    <mergeCell ref="AB8:AB9"/>
    <mergeCell ref="AC8:AC9"/>
    <mergeCell ref="AD8:AD9"/>
    <mergeCell ref="AE8:AE9"/>
    <mergeCell ref="B1:C1"/>
    <mergeCell ref="A3:AE3"/>
    <mergeCell ref="A4:AE4"/>
    <mergeCell ref="AB6:AC6"/>
    <mergeCell ref="AD6:AE6"/>
    <mergeCell ref="B120:AE120"/>
    <mergeCell ref="S8:S9"/>
    <mergeCell ref="T8:T9"/>
    <mergeCell ref="U8:W8"/>
    <mergeCell ref="X8:X9"/>
    <mergeCell ref="Y8:Z8"/>
    <mergeCell ref="AA8:AA9"/>
    <mergeCell ref="J8:J9"/>
    <mergeCell ref="K8:M8"/>
    <mergeCell ref="N8:N9"/>
    <mergeCell ref="O8:O9"/>
    <mergeCell ref="P8:P9"/>
  </mergeCells>
  <dataValidations count="6">
    <dataValidation allowBlank="1" showInputMessage="1" showErrorMessage="1" prompt="Bao gồm cả BS cân đối để khớp với tổng chi NS tỉnh" sqref="T116" xr:uid="{00000000-0002-0000-0900-000000000000}"/>
    <dataValidation allowBlank="1" showInputMessage="1" showErrorMessage="1" prompt="Bộ Quốc phòng_x000a_" sqref="Q43" xr:uid="{00000000-0002-0000-0900-000001000000}"/>
    <dataValidation allowBlank="1" showInputMessage="1" showErrorMessage="1" prompt="Bao gồm Văn phòng điều phối CT MTQG NTM" sqref="M14" xr:uid="{00000000-0002-0000-0900-000002000000}"/>
    <dataValidation allowBlank="1" showInputMessage="1" showErrorMessage="1" prompt="Bao gồm: tăng 300tr. đồng Ghi thu ghi chi quyền sử dụng đất khai thác quỹ đất khu phía Nam cầu Đăk bla (Thường xuyên)" sqref="R71" xr:uid="{00000000-0002-0000-0900-000003000000}"/>
    <dataValidation allowBlank="1" showInputMessage="1" showErrorMessage="1" prompt="Theo TT 343 BTC các lĩnh vực  Công an tỉnh, Bộ chỉ huy quân sự tỉnh; Bộ chỉ huy biên phòng tỉnh, Ban Chỉ đạo phân giới, cắm mổc tỉnh (Việt nam - Lào), Ban chỉ đạo phân giới, cắm mổc tỉnh (Viêt nam - Cam Pu Chia) không công khai QT" sqref="WVQ982896 C65392 JE65392 TA65392 ACW65392 AMS65392 AWO65392 BGK65392 BQG65392 CAC65392 CJY65392 CTU65392 DDQ65392 DNM65392 DXI65392 EHE65392 ERA65392 FAW65392 FKS65392 FUO65392 GEK65392 GOG65392 GYC65392 HHY65392 HRU65392 IBQ65392 ILM65392 IVI65392 JFE65392 JPA65392 JYW65392 KIS65392 KSO65392 LCK65392 LMG65392 LWC65392 MFY65392 MPU65392 MZQ65392 NJM65392 NTI65392 ODE65392 ONA65392 OWW65392 PGS65392 PQO65392 QAK65392 QKG65392 QUC65392 RDY65392 RNU65392 RXQ65392 SHM65392 SRI65392 TBE65392 TLA65392 TUW65392 UES65392 UOO65392 UYK65392 VIG65392 VSC65392 WBY65392 WLU65392 WVQ65392 C130928 JE130928 TA130928 ACW130928 AMS130928 AWO130928 BGK130928 BQG130928 CAC130928 CJY130928 CTU130928 DDQ130928 DNM130928 DXI130928 EHE130928 ERA130928 FAW130928 FKS130928 FUO130928 GEK130928 GOG130928 GYC130928 HHY130928 HRU130928 IBQ130928 ILM130928 IVI130928 JFE130928 JPA130928 JYW130928 KIS130928 KSO130928 LCK130928 LMG130928 LWC130928 MFY130928 MPU130928 MZQ130928 NJM130928 NTI130928 ODE130928 ONA130928 OWW130928 PGS130928 PQO130928 QAK130928 QKG130928 QUC130928 RDY130928 RNU130928 RXQ130928 SHM130928 SRI130928 TBE130928 TLA130928 TUW130928 UES130928 UOO130928 UYK130928 VIG130928 VSC130928 WBY130928 WLU130928 WVQ130928 C196464 JE196464 TA196464 ACW196464 AMS196464 AWO196464 BGK196464 BQG196464 CAC196464 CJY196464 CTU196464 DDQ196464 DNM196464 DXI196464 EHE196464 ERA196464 FAW196464 FKS196464 FUO196464 GEK196464 GOG196464 GYC196464 HHY196464 HRU196464 IBQ196464 ILM196464 IVI196464 JFE196464 JPA196464 JYW196464 KIS196464 KSO196464 LCK196464 LMG196464 LWC196464 MFY196464 MPU196464 MZQ196464 NJM196464 NTI196464 ODE196464 ONA196464 OWW196464 PGS196464 PQO196464 QAK196464 QKG196464 QUC196464 RDY196464 RNU196464 RXQ196464 SHM196464 SRI196464 TBE196464 TLA196464 TUW196464 UES196464 UOO196464 UYK196464 VIG196464 VSC196464 WBY196464 WLU196464 WVQ196464 C262000 JE262000 TA262000 ACW262000 AMS262000 AWO262000 BGK262000 BQG262000 CAC262000 CJY262000 CTU262000 DDQ262000 DNM262000 DXI262000 EHE262000 ERA262000 FAW262000 FKS262000 FUO262000 GEK262000 GOG262000 GYC262000 HHY262000 HRU262000 IBQ262000 ILM262000 IVI262000 JFE262000 JPA262000 JYW262000 KIS262000 KSO262000 LCK262000 LMG262000 LWC262000 MFY262000 MPU262000 MZQ262000 NJM262000 NTI262000 ODE262000 ONA262000 OWW262000 PGS262000 PQO262000 QAK262000 QKG262000 QUC262000 RDY262000 RNU262000 RXQ262000 SHM262000 SRI262000 TBE262000 TLA262000 TUW262000 UES262000 UOO262000 UYK262000 VIG262000 VSC262000 WBY262000 WLU262000 WVQ262000 C327536 JE327536 TA327536 ACW327536 AMS327536 AWO327536 BGK327536 BQG327536 CAC327536 CJY327536 CTU327536 DDQ327536 DNM327536 DXI327536 EHE327536 ERA327536 FAW327536 FKS327536 FUO327536 GEK327536 GOG327536 GYC327536 HHY327536 HRU327536 IBQ327536 ILM327536 IVI327536 JFE327536 JPA327536 JYW327536 KIS327536 KSO327536 LCK327536 LMG327536 LWC327536 MFY327536 MPU327536 MZQ327536 NJM327536 NTI327536 ODE327536 ONA327536 OWW327536 PGS327536 PQO327536 QAK327536 QKG327536 QUC327536 RDY327536 RNU327536 RXQ327536 SHM327536 SRI327536 TBE327536 TLA327536 TUW327536 UES327536 UOO327536 UYK327536 VIG327536 VSC327536 WBY327536 WLU327536 WVQ327536 C393072 JE393072 TA393072 ACW393072 AMS393072 AWO393072 BGK393072 BQG393072 CAC393072 CJY393072 CTU393072 DDQ393072 DNM393072 DXI393072 EHE393072 ERA393072 FAW393072 FKS393072 FUO393072 GEK393072 GOG393072 GYC393072 HHY393072 HRU393072 IBQ393072 ILM393072 IVI393072 JFE393072 JPA393072 JYW393072 KIS393072 KSO393072 LCK393072 LMG393072 LWC393072 MFY393072 MPU393072 MZQ393072 NJM393072 NTI393072 ODE393072 ONA393072 OWW393072 PGS393072 PQO393072 QAK393072 QKG393072 QUC393072 RDY393072 RNU393072 RXQ393072 SHM393072 SRI393072 TBE393072 TLA393072 TUW393072 UES393072 UOO393072 UYK393072 VIG393072 VSC393072 WBY393072 WLU393072 WVQ393072 C458608 JE458608 TA458608 ACW458608 AMS458608 AWO458608 BGK458608 BQG458608 CAC458608 CJY458608 CTU458608 DDQ458608 DNM458608 DXI458608 EHE458608 ERA458608 FAW458608 FKS458608 FUO458608 GEK458608 GOG458608 GYC458608 HHY458608 HRU458608 IBQ458608 ILM458608 IVI458608 JFE458608 JPA458608 JYW458608 KIS458608 KSO458608 LCK458608 LMG458608 LWC458608 MFY458608 MPU458608 MZQ458608 NJM458608 NTI458608 ODE458608 ONA458608 OWW458608 PGS458608 PQO458608 QAK458608 QKG458608 QUC458608 RDY458608 RNU458608 RXQ458608 SHM458608 SRI458608 TBE458608 TLA458608 TUW458608 UES458608 UOO458608 UYK458608 VIG458608 VSC458608 WBY458608 WLU458608 WVQ458608 C524144 JE524144 TA524144 ACW524144 AMS524144 AWO524144 BGK524144 BQG524144 CAC524144 CJY524144 CTU524144 DDQ524144 DNM524144 DXI524144 EHE524144 ERA524144 FAW524144 FKS524144 FUO524144 GEK524144 GOG524144 GYC524144 HHY524144 HRU524144 IBQ524144 ILM524144 IVI524144 JFE524144 JPA524144 JYW524144 KIS524144 KSO524144 LCK524144 LMG524144 LWC524144 MFY524144 MPU524144 MZQ524144 NJM524144 NTI524144 ODE524144 ONA524144 OWW524144 PGS524144 PQO524144 QAK524144 QKG524144 QUC524144 RDY524144 RNU524144 RXQ524144 SHM524144 SRI524144 TBE524144 TLA524144 TUW524144 UES524144 UOO524144 UYK524144 VIG524144 VSC524144 WBY524144 WLU524144 WVQ524144 C589680 JE589680 TA589680 ACW589680 AMS589680 AWO589680 BGK589680 BQG589680 CAC589680 CJY589680 CTU589680 DDQ589680 DNM589680 DXI589680 EHE589680 ERA589680 FAW589680 FKS589680 FUO589680 GEK589680 GOG589680 GYC589680 HHY589680 HRU589680 IBQ589680 ILM589680 IVI589680 JFE589680 JPA589680 JYW589680 KIS589680 KSO589680 LCK589680 LMG589680 LWC589680 MFY589680 MPU589680 MZQ589680 NJM589680 NTI589680 ODE589680 ONA589680 OWW589680 PGS589680 PQO589680 QAK589680 QKG589680 QUC589680 RDY589680 RNU589680 RXQ589680 SHM589680 SRI589680 TBE589680 TLA589680 TUW589680 UES589680 UOO589680 UYK589680 VIG589680 VSC589680 WBY589680 WLU589680 WVQ589680 C655216 JE655216 TA655216 ACW655216 AMS655216 AWO655216 BGK655216 BQG655216 CAC655216 CJY655216 CTU655216 DDQ655216 DNM655216 DXI655216 EHE655216 ERA655216 FAW655216 FKS655216 FUO655216 GEK655216 GOG655216 GYC655216 HHY655216 HRU655216 IBQ655216 ILM655216 IVI655216 JFE655216 JPA655216 JYW655216 KIS655216 KSO655216 LCK655216 LMG655216 LWC655216 MFY655216 MPU655216 MZQ655216 NJM655216 NTI655216 ODE655216 ONA655216 OWW655216 PGS655216 PQO655216 QAK655216 QKG655216 QUC655216 RDY655216 RNU655216 RXQ655216 SHM655216 SRI655216 TBE655216 TLA655216 TUW655216 UES655216 UOO655216 UYK655216 VIG655216 VSC655216 WBY655216 WLU655216 WVQ655216 C720752 JE720752 TA720752 ACW720752 AMS720752 AWO720752 BGK720752 BQG720752 CAC720752 CJY720752 CTU720752 DDQ720752 DNM720752 DXI720752 EHE720752 ERA720752 FAW720752 FKS720752 FUO720752 GEK720752 GOG720752 GYC720752 HHY720752 HRU720752 IBQ720752 ILM720752 IVI720752 JFE720752 JPA720752 JYW720752 KIS720752 KSO720752 LCK720752 LMG720752 LWC720752 MFY720752 MPU720752 MZQ720752 NJM720752 NTI720752 ODE720752 ONA720752 OWW720752 PGS720752 PQO720752 QAK720752 QKG720752 QUC720752 RDY720752 RNU720752 RXQ720752 SHM720752 SRI720752 TBE720752 TLA720752 TUW720752 UES720752 UOO720752 UYK720752 VIG720752 VSC720752 WBY720752 WLU720752 WVQ720752 C786288 JE786288 TA786288 ACW786288 AMS786288 AWO786288 BGK786288 BQG786288 CAC786288 CJY786288 CTU786288 DDQ786288 DNM786288 DXI786288 EHE786288 ERA786288 FAW786288 FKS786288 FUO786288 GEK786288 GOG786288 GYC786288 HHY786288 HRU786288 IBQ786288 ILM786288 IVI786288 JFE786288 JPA786288 JYW786288 KIS786288 KSO786288 LCK786288 LMG786288 LWC786288 MFY786288 MPU786288 MZQ786288 NJM786288 NTI786288 ODE786288 ONA786288 OWW786288 PGS786288 PQO786288 QAK786288 QKG786288 QUC786288 RDY786288 RNU786288 RXQ786288 SHM786288 SRI786288 TBE786288 TLA786288 TUW786288 UES786288 UOO786288 UYK786288 VIG786288 VSC786288 WBY786288 WLU786288 WVQ786288 C851824 JE851824 TA851824 ACW851824 AMS851824 AWO851824 BGK851824 BQG851824 CAC851824 CJY851824 CTU851824 DDQ851824 DNM851824 DXI851824 EHE851824 ERA851824 FAW851824 FKS851824 FUO851824 GEK851824 GOG851824 GYC851824 HHY851824 HRU851824 IBQ851824 ILM851824 IVI851824 JFE851824 JPA851824 JYW851824 KIS851824 KSO851824 LCK851824 LMG851824 LWC851824 MFY851824 MPU851824 MZQ851824 NJM851824 NTI851824 ODE851824 ONA851824 OWW851824 PGS851824 PQO851824 QAK851824 QKG851824 QUC851824 RDY851824 RNU851824 RXQ851824 SHM851824 SRI851824 TBE851824 TLA851824 TUW851824 UES851824 UOO851824 UYK851824 VIG851824 VSC851824 WBY851824 WLU851824 WVQ851824 C917360 JE917360 TA917360 ACW917360 AMS917360 AWO917360 BGK917360 BQG917360 CAC917360 CJY917360 CTU917360 DDQ917360 DNM917360 DXI917360 EHE917360 ERA917360 FAW917360 FKS917360 FUO917360 GEK917360 GOG917360 GYC917360 HHY917360 HRU917360 IBQ917360 ILM917360 IVI917360 JFE917360 JPA917360 JYW917360 KIS917360 KSO917360 LCK917360 LMG917360 LWC917360 MFY917360 MPU917360 MZQ917360 NJM917360 NTI917360 ODE917360 ONA917360 OWW917360 PGS917360 PQO917360 QAK917360 QKG917360 QUC917360 RDY917360 RNU917360 RXQ917360 SHM917360 SRI917360 TBE917360 TLA917360 TUW917360 UES917360 UOO917360 UYK917360 VIG917360 VSC917360 WBY917360 WLU917360 WVQ917360 C982896 JE982896 TA982896 ACW982896 AMS982896 AWO982896 BGK982896 BQG982896 CAC982896 CJY982896 CTU982896 DDQ982896 DNM982896 DXI982896 EHE982896 ERA982896 FAW982896 FKS982896 FUO982896 GEK982896 GOG982896 GYC982896 HHY982896 HRU982896 IBQ982896 ILM982896 IVI982896 JFE982896 JPA982896 JYW982896 KIS982896 KSO982896 LCK982896 LMG982896 LWC982896 MFY982896 MPU982896 MZQ982896 NJM982896 NTI982896 ODE982896 ONA982896 OWW982896 PGS982896 PQO982896 QAK982896 QKG982896 QUC982896 RDY982896 RNU982896 RXQ982896 SHM982896 SRI982896 TBE982896 TLA982896 TUW982896 UES982896 UOO982896 UYK982896 VIG982896 VSC982896 WBY982896 WLU982896 WBY13:WBY90 VSC13:VSC90 VIG13:VIG90 UYK13:UYK90 UOO13:UOO90 UES13:UES90 TUW13:TUW90 TLA13:TLA90 TBE13:TBE90 SRI13:SRI90 SHM13:SHM90 RXQ13:RXQ90 RNU13:RNU90 RDY13:RDY90 QUC13:QUC90 QKG13:QKG90 QAK13:QAK90 PQO13:PQO90 PGS13:PGS90 OWW13:OWW90 ONA13:ONA90 ODE13:ODE90 NTI13:NTI90 NJM13:NJM90 MZQ13:MZQ90 MPU13:MPU90 MFY13:MFY90 LWC13:LWC90 LMG13:LMG90 LCK13:LCK90 KSO13:KSO90 KIS13:KIS90 JYW13:JYW90 JPA13:JPA90 JFE13:JFE90 IVI13:IVI90 ILM13:ILM90 IBQ13:IBQ90 HRU13:HRU90 HHY13:HHY90 GYC13:GYC90 GOG13:GOG90 GEK13:GEK90 FUO13:FUO90 FKS13:FKS90 FAW13:FAW90 ERA13:ERA90 EHE13:EHE90 DXI13:DXI90 DNM13:DNM90 DDQ13:DDQ90 CTU13:CTU90 CJY13:CJY90 CAC13:CAC90 BQG13:BQG90 BGK13:BGK90 AWO13:AWO90 AMS13:AMS90 ACW13:ACW90 TA13:TA90 JE13:JE90 WVQ13:WVQ90 WLU13:WLU90" xr:uid="{00000000-0002-0000-0900-000004000000}"/>
    <dataValidation allowBlank="1" showInputMessage="1" showErrorMessage="1" prompt="_x000a_" sqref="O36" xr:uid="{00000000-0002-0000-0900-000005000000}"/>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1"/>
  <sheetViews>
    <sheetView zoomScale="85" zoomScaleNormal="85" workbookViewId="0">
      <pane xSplit="2" ySplit="8" topLeftCell="C9" activePane="bottomRight" state="frozen"/>
      <selection pane="topRight" activeCell="C1" sqref="C1"/>
      <selection pane="bottomLeft" activeCell="A9" sqref="A9"/>
      <selection pane="bottomRight" activeCell="A4" sqref="A4:H4"/>
    </sheetView>
  </sheetViews>
  <sheetFormatPr defaultColWidth="9.140625" defaultRowHeight="15.75" outlineLevelRow="1" x14ac:dyDescent="0.25"/>
  <cols>
    <col min="1" max="1" width="5.85546875" style="9" customWidth="1"/>
    <col min="2" max="2" width="49" style="9" customWidth="1"/>
    <col min="3" max="3" width="15.85546875" style="9" customWidth="1"/>
    <col min="4" max="4" width="14.7109375" style="9" customWidth="1"/>
    <col min="5" max="5" width="15.28515625" style="7" customWidth="1"/>
    <col min="6" max="6" width="15.5703125" style="7" customWidth="1"/>
    <col min="7" max="7" width="13" style="9" customWidth="1"/>
    <col min="8" max="8" width="12.28515625" style="9" customWidth="1"/>
    <col min="9" max="9" width="9.140625" style="9"/>
    <col min="10" max="10" width="18.42578125" style="10" customWidth="1"/>
    <col min="11" max="16384" width="9.140625" style="9"/>
  </cols>
  <sheetData>
    <row r="1" spans="1:10" x14ac:dyDescent="0.25">
      <c r="A1" s="15"/>
      <c r="C1" s="6"/>
      <c r="D1" s="6"/>
      <c r="F1" s="8" t="s">
        <v>34</v>
      </c>
      <c r="J1" s="9"/>
    </row>
    <row r="2" spans="1:10" ht="9" customHeight="1" x14ac:dyDescent="0.25">
      <c r="A2" s="16"/>
      <c r="J2" s="9"/>
    </row>
    <row r="3" spans="1:10" ht="16.5" x14ac:dyDescent="0.25">
      <c r="A3" s="328" t="s">
        <v>553</v>
      </c>
      <c r="B3" s="328"/>
      <c r="C3" s="328"/>
      <c r="D3" s="328"/>
      <c r="E3" s="328"/>
      <c r="F3" s="328"/>
      <c r="G3" s="328"/>
      <c r="H3" s="328"/>
      <c r="J3" s="9"/>
    </row>
    <row r="4" spans="1:10" x14ac:dyDescent="0.25">
      <c r="A4" s="329" t="s">
        <v>720</v>
      </c>
      <c r="B4" s="329"/>
      <c r="C4" s="329"/>
      <c r="D4" s="329"/>
      <c r="E4" s="329"/>
      <c r="F4" s="329"/>
      <c r="G4" s="329"/>
      <c r="H4" s="329"/>
      <c r="J4" s="9"/>
    </row>
    <row r="5" spans="1:10" x14ac:dyDescent="0.25">
      <c r="B5" s="2"/>
      <c r="C5" s="10"/>
      <c r="D5" s="10"/>
      <c r="E5" s="10"/>
      <c r="F5" s="10"/>
      <c r="G5" s="11" t="s">
        <v>1</v>
      </c>
      <c r="J5" s="9"/>
    </row>
    <row r="6" spans="1:10" s="47" customFormat="1" ht="15.75" customHeight="1" x14ac:dyDescent="0.25">
      <c r="A6" s="330" t="s">
        <v>2</v>
      </c>
      <c r="B6" s="330" t="s">
        <v>123</v>
      </c>
      <c r="C6" s="330" t="s">
        <v>107</v>
      </c>
      <c r="D6" s="330"/>
      <c r="E6" s="330" t="s">
        <v>108</v>
      </c>
      <c r="F6" s="330"/>
      <c r="G6" s="330" t="s">
        <v>109</v>
      </c>
      <c r="H6" s="330"/>
    </row>
    <row r="7" spans="1:10" s="47" customFormat="1" ht="36.6" customHeight="1" x14ac:dyDescent="0.25">
      <c r="A7" s="330"/>
      <c r="B7" s="330"/>
      <c r="C7" s="248" t="s">
        <v>174</v>
      </c>
      <c r="D7" s="248" t="s">
        <v>156</v>
      </c>
      <c r="E7" s="248" t="s">
        <v>174</v>
      </c>
      <c r="F7" s="248" t="s">
        <v>156</v>
      </c>
      <c r="G7" s="248" t="s">
        <v>174</v>
      </c>
      <c r="H7" s="248" t="s">
        <v>156</v>
      </c>
      <c r="I7" s="57"/>
    </row>
    <row r="8" spans="1:10" s="47" customFormat="1" x14ac:dyDescent="0.25">
      <c r="A8" s="249" t="s">
        <v>7</v>
      </c>
      <c r="B8" s="249" t="s">
        <v>8</v>
      </c>
      <c r="C8" s="249">
        <v>1</v>
      </c>
      <c r="D8" s="249">
        <v>2</v>
      </c>
      <c r="E8" s="249">
        <v>3</v>
      </c>
      <c r="F8" s="249">
        <v>4</v>
      </c>
      <c r="G8" s="249" t="s">
        <v>36</v>
      </c>
      <c r="H8" s="249" t="s">
        <v>37</v>
      </c>
    </row>
    <row r="9" spans="1:10" s="47" customFormat="1" ht="25.9" customHeight="1" x14ac:dyDescent="0.25">
      <c r="A9" s="250"/>
      <c r="B9" s="251" t="s">
        <v>175</v>
      </c>
      <c r="C9" s="252">
        <v>4000000</v>
      </c>
      <c r="D9" s="252">
        <v>3498400</v>
      </c>
      <c r="E9" s="252">
        <v>6450636.8871470001</v>
      </c>
      <c r="F9" s="252">
        <v>5796492.3263140004</v>
      </c>
      <c r="G9" s="253">
        <f>IFERROR(E9/C9,"")</f>
        <v>1.6126592217867499</v>
      </c>
      <c r="H9" s="253">
        <f>IFERROR(F9/D9,"")</f>
        <v>1.656898103794306</v>
      </c>
      <c r="I9" s="48"/>
    </row>
    <row r="10" spans="1:10" s="50" customFormat="1" x14ac:dyDescent="0.25">
      <c r="A10" s="250" t="s">
        <v>7</v>
      </c>
      <c r="B10" s="251" t="s">
        <v>38</v>
      </c>
      <c r="C10" s="252">
        <v>4000000</v>
      </c>
      <c r="D10" s="252">
        <v>3498400</v>
      </c>
      <c r="E10" s="252">
        <v>4045348.805284</v>
      </c>
      <c r="F10" s="252">
        <v>3516939.9031850002</v>
      </c>
      <c r="G10" s="253">
        <f t="shared" ref="G10:H81" si="0">IFERROR(E10/C10,"")</f>
        <v>1.011337201321</v>
      </c>
      <c r="H10" s="253">
        <f t="shared" si="0"/>
        <v>1.0052995378415848</v>
      </c>
      <c r="I10" s="49"/>
    </row>
    <row r="11" spans="1:10" s="50" customFormat="1" x14ac:dyDescent="0.25">
      <c r="A11" s="250" t="s">
        <v>39</v>
      </c>
      <c r="B11" s="251" t="s">
        <v>40</v>
      </c>
      <c r="C11" s="252">
        <v>3730000</v>
      </c>
      <c r="D11" s="252">
        <v>3498400</v>
      </c>
      <c r="E11" s="252">
        <v>3718944.9303890001</v>
      </c>
      <c r="F11" s="252">
        <v>3516639.9031850002</v>
      </c>
      <c r="G11" s="253">
        <f t="shared" si="0"/>
        <v>0.99703617436702419</v>
      </c>
      <c r="H11" s="253">
        <f t="shared" si="0"/>
        <v>1.0052137843542763</v>
      </c>
    </row>
    <row r="12" spans="1:10" s="47" customFormat="1" x14ac:dyDescent="0.25">
      <c r="A12" s="250">
        <v>1</v>
      </c>
      <c r="B12" s="251" t="s">
        <v>427</v>
      </c>
      <c r="C12" s="252">
        <v>661000</v>
      </c>
      <c r="D12" s="252">
        <v>661000</v>
      </c>
      <c r="E12" s="252">
        <v>815487.84840100002</v>
      </c>
      <c r="F12" s="252">
        <v>815487.84840100002</v>
      </c>
      <c r="G12" s="253">
        <f t="shared" si="0"/>
        <v>1.2337183788214827</v>
      </c>
      <c r="H12" s="253">
        <f t="shared" si="0"/>
        <v>1.2337183788214827</v>
      </c>
    </row>
    <row r="13" spans="1:10" s="47" customFormat="1" x14ac:dyDescent="0.25">
      <c r="A13" s="254" t="s">
        <v>78</v>
      </c>
      <c r="B13" s="255" t="s">
        <v>176</v>
      </c>
      <c r="C13" s="256">
        <v>262000</v>
      </c>
      <c r="D13" s="256">
        <v>262000</v>
      </c>
      <c r="E13" s="256">
        <v>278116.82147700002</v>
      </c>
      <c r="F13" s="256">
        <v>278116.82147700002</v>
      </c>
      <c r="G13" s="257">
        <f t="shared" si="0"/>
        <v>1.0615145857900765</v>
      </c>
      <c r="H13" s="257">
        <f t="shared" si="0"/>
        <v>1.0615145857900765</v>
      </c>
    </row>
    <row r="14" spans="1:10" s="47" customFormat="1" x14ac:dyDescent="0.25">
      <c r="A14" s="254" t="s">
        <v>79</v>
      </c>
      <c r="B14" s="255" t="s">
        <v>177</v>
      </c>
      <c r="C14" s="256">
        <v>8000</v>
      </c>
      <c r="D14" s="256">
        <v>8000</v>
      </c>
      <c r="E14" s="256">
        <v>26127.561271999999</v>
      </c>
      <c r="F14" s="256">
        <v>26127.561271999999</v>
      </c>
      <c r="G14" s="257">
        <f t="shared" si="0"/>
        <v>3.2659451589999997</v>
      </c>
      <c r="H14" s="257">
        <f t="shared" si="0"/>
        <v>3.2659451589999997</v>
      </c>
    </row>
    <row r="15" spans="1:10" s="47" customFormat="1" x14ac:dyDescent="0.25">
      <c r="A15" s="254" t="s">
        <v>80</v>
      </c>
      <c r="B15" s="255" t="s">
        <v>178</v>
      </c>
      <c r="C15" s="256">
        <v>391000</v>
      </c>
      <c r="D15" s="256">
        <v>391000</v>
      </c>
      <c r="E15" s="256">
        <v>511243.46565199998</v>
      </c>
      <c r="F15" s="256">
        <v>511243.46565199998</v>
      </c>
      <c r="G15" s="257">
        <f t="shared" si="0"/>
        <v>1.30752804514578</v>
      </c>
      <c r="H15" s="257">
        <f t="shared" si="0"/>
        <v>1.30752804514578</v>
      </c>
    </row>
    <row r="16" spans="1:10" s="47" customFormat="1" ht="15.75" hidden="1" customHeight="1" outlineLevel="1" x14ac:dyDescent="0.25">
      <c r="A16" s="258" t="s">
        <v>142</v>
      </c>
      <c r="B16" s="255" t="s">
        <v>179</v>
      </c>
      <c r="C16" s="256"/>
      <c r="D16" s="256">
        <v>0</v>
      </c>
      <c r="E16" s="256"/>
      <c r="F16" s="256"/>
      <c r="G16" s="257" t="str">
        <f t="shared" si="0"/>
        <v/>
      </c>
      <c r="H16" s="257" t="str">
        <f t="shared" si="0"/>
        <v/>
      </c>
    </row>
    <row r="17" spans="1:8" s="47" customFormat="1" ht="15.75" hidden="1" customHeight="1" outlineLevel="1" x14ac:dyDescent="0.25">
      <c r="A17" s="258" t="s">
        <v>142</v>
      </c>
      <c r="B17" s="255" t="s">
        <v>180</v>
      </c>
      <c r="C17" s="256"/>
      <c r="D17" s="256">
        <v>0</v>
      </c>
      <c r="E17" s="256"/>
      <c r="F17" s="256"/>
      <c r="G17" s="257" t="str">
        <f t="shared" si="0"/>
        <v/>
      </c>
      <c r="H17" s="257" t="str">
        <f t="shared" si="0"/>
        <v/>
      </c>
    </row>
    <row r="18" spans="1:8" s="47" customFormat="1" collapsed="1" x14ac:dyDescent="0.25">
      <c r="A18" s="250">
        <v>2</v>
      </c>
      <c r="B18" s="251" t="s">
        <v>562</v>
      </c>
      <c r="C18" s="252">
        <v>45000</v>
      </c>
      <c r="D18" s="252">
        <v>45000</v>
      </c>
      <c r="E18" s="252">
        <v>50254.859936000001</v>
      </c>
      <c r="F18" s="252">
        <v>50254.859936000001</v>
      </c>
      <c r="G18" s="253">
        <f t="shared" si="0"/>
        <v>1.1167746652444444</v>
      </c>
      <c r="H18" s="253">
        <f t="shared" si="0"/>
        <v>1.1167746652444444</v>
      </c>
    </row>
    <row r="19" spans="1:8" s="47" customFormat="1" x14ac:dyDescent="0.25">
      <c r="A19" s="254" t="s">
        <v>138</v>
      </c>
      <c r="B19" s="255" t="s">
        <v>176</v>
      </c>
      <c r="C19" s="256">
        <v>35000</v>
      </c>
      <c r="D19" s="256">
        <v>35000</v>
      </c>
      <c r="E19" s="256">
        <v>31997.012928</v>
      </c>
      <c r="F19" s="256">
        <v>31997.012928</v>
      </c>
      <c r="G19" s="257">
        <f t="shared" si="0"/>
        <v>0.91420036937142857</v>
      </c>
      <c r="H19" s="257">
        <f t="shared" si="0"/>
        <v>0.91420036937142857</v>
      </c>
    </row>
    <row r="20" spans="1:8" s="47" customFormat="1" x14ac:dyDescent="0.25">
      <c r="A20" s="254" t="s">
        <v>139</v>
      </c>
      <c r="B20" s="255" t="s">
        <v>177</v>
      </c>
      <c r="C20" s="256">
        <v>9000</v>
      </c>
      <c r="D20" s="256">
        <v>9000</v>
      </c>
      <c r="E20" s="256">
        <v>17470.992511</v>
      </c>
      <c r="F20" s="256">
        <v>17470.992511</v>
      </c>
      <c r="G20" s="257">
        <f t="shared" si="0"/>
        <v>1.9412213901111111</v>
      </c>
      <c r="H20" s="257">
        <f t="shared" si="0"/>
        <v>1.9412213901111111</v>
      </c>
    </row>
    <row r="21" spans="1:8" s="47" customFormat="1" x14ac:dyDescent="0.25">
      <c r="A21" s="254" t="s">
        <v>140</v>
      </c>
      <c r="B21" s="255" t="s">
        <v>178</v>
      </c>
      <c r="C21" s="256">
        <v>1000</v>
      </c>
      <c r="D21" s="256">
        <v>1000</v>
      </c>
      <c r="E21" s="256">
        <v>786.85449699999992</v>
      </c>
      <c r="F21" s="256">
        <v>786.85449699999992</v>
      </c>
      <c r="G21" s="257">
        <f t="shared" si="0"/>
        <v>0.78685449699999988</v>
      </c>
      <c r="H21" s="257">
        <f t="shared" si="0"/>
        <v>0.78685449699999988</v>
      </c>
    </row>
    <row r="22" spans="1:8" s="47" customFormat="1" ht="15.75" hidden="1" customHeight="1" outlineLevel="1" x14ac:dyDescent="0.25">
      <c r="A22" s="258" t="s">
        <v>142</v>
      </c>
      <c r="B22" s="255" t="s">
        <v>181</v>
      </c>
      <c r="C22" s="256"/>
      <c r="D22" s="256">
        <v>0</v>
      </c>
      <c r="E22" s="256"/>
      <c r="F22" s="256"/>
      <c r="G22" s="257" t="str">
        <f t="shared" si="0"/>
        <v/>
      </c>
      <c r="H22" s="257" t="str">
        <f t="shared" si="0"/>
        <v/>
      </c>
    </row>
    <row r="23" spans="1:8" s="47" customFormat="1" ht="15.75" hidden="1" customHeight="1" outlineLevel="1" x14ac:dyDescent="0.25">
      <c r="A23" s="258" t="s">
        <v>142</v>
      </c>
      <c r="B23" s="255" t="s">
        <v>180</v>
      </c>
      <c r="C23" s="256"/>
      <c r="D23" s="256">
        <v>0</v>
      </c>
      <c r="E23" s="256"/>
      <c r="F23" s="256"/>
      <c r="G23" s="257" t="str">
        <f t="shared" si="0"/>
        <v/>
      </c>
      <c r="H23" s="257" t="str">
        <f t="shared" si="0"/>
        <v/>
      </c>
    </row>
    <row r="24" spans="1:8" s="47" customFormat="1" ht="31.5" collapsed="1" x14ac:dyDescent="0.25">
      <c r="A24" s="250">
        <v>3</v>
      </c>
      <c r="B24" s="251" t="s">
        <v>561</v>
      </c>
      <c r="C24" s="252">
        <v>8000</v>
      </c>
      <c r="D24" s="252">
        <v>8000</v>
      </c>
      <c r="E24" s="252">
        <v>6497.9467789999999</v>
      </c>
      <c r="F24" s="252">
        <v>6497.9467789999999</v>
      </c>
      <c r="G24" s="253">
        <f t="shared" si="0"/>
        <v>0.81224334737500004</v>
      </c>
      <c r="H24" s="253">
        <f t="shared" si="0"/>
        <v>0.81224334737500004</v>
      </c>
    </row>
    <row r="25" spans="1:8" s="47" customFormat="1" x14ac:dyDescent="0.25">
      <c r="A25" s="254" t="s">
        <v>143</v>
      </c>
      <c r="B25" s="255" t="s">
        <v>176</v>
      </c>
      <c r="C25" s="256">
        <v>4000</v>
      </c>
      <c r="D25" s="256">
        <v>4000</v>
      </c>
      <c r="E25" s="256">
        <v>2382.2147489999998</v>
      </c>
      <c r="F25" s="256">
        <v>2382.2147489999998</v>
      </c>
      <c r="G25" s="257">
        <f t="shared" si="0"/>
        <v>0.59555368724999991</v>
      </c>
      <c r="H25" s="257">
        <f t="shared" si="0"/>
        <v>0.59555368724999991</v>
      </c>
    </row>
    <row r="26" spans="1:8" s="47" customFormat="1" x14ac:dyDescent="0.25">
      <c r="A26" s="254" t="s">
        <v>144</v>
      </c>
      <c r="B26" s="255" t="s">
        <v>177</v>
      </c>
      <c r="C26" s="256">
        <v>4000</v>
      </c>
      <c r="D26" s="256">
        <v>4000</v>
      </c>
      <c r="E26" s="256">
        <v>4115.7320300000001</v>
      </c>
      <c r="F26" s="256">
        <v>4115.7320300000001</v>
      </c>
      <c r="G26" s="257">
        <f t="shared" si="0"/>
        <v>1.0289330075000001</v>
      </c>
      <c r="H26" s="257">
        <f t="shared" si="0"/>
        <v>1.0289330075000001</v>
      </c>
    </row>
    <row r="27" spans="1:8" s="47" customFormat="1" x14ac:dyDescent="0.25">
      <c r="A27" s="250">
        <v>4</v>
      </c>
      <c r="B27" s="251" t="s">
        <v>560</v>
      </c>
      <c r="C27" s="252">
        <v>790000</v>
      </c>
      <c r="D27" s="252">
        <v>790000</v>
      </c>
      <c r="E27" s="252">
        <v>1161784.19224</v>
      </c>
      <c r="F27" s="252">
        <v>1161784.19224</v>
      </c>
      <c r="G27" s="253">
        <f t="shared" si="0"/>
        <v>1.4706129015696203</v>
      </c>
      <c r="H27" s="253">
        <f t="shared" si="0"/>
        <v>1.4706129015696203</v>
      </c>
    </row>
    <row r="28" spans="1:8" s="47" customFormat="1" x14ac:dyDescent="0.25">
      <c r="A28" s="254" t="s">
        <v>182</v>
      </c>
      <c r="B28" s="255" t="s">
        <v>176</v>
      </c>
      <c r="C28" s="256">
        <v>586700</v>
      </c>
      <c r="D28" s="256">
        <v>586700</v>
      </c>
      <c r="E28" s="256">
        <v>799036.80481999996</v>
      </c>
      <c r="F28" s="256">
        <v>799036.80481999996</v>
      </c>
      <c r="G28" s="257">
        <f t="shared" si="0"/>
        <v>1.3619171720129537</v>
      </c>
      <c r="H28" s="257">
        <f t="shared" si="0"/>
        <v>1.3619171720129537</v>
      </c>
    </row>
    <row r="29" spans="1:8" s="47" customFormat="1" x14ac:dyDescent="0.25">
      <c r="A29" s="254" t="s">
        <v>183</v>
      </c>
      <c r="B29" s="255" t="s">
        <v>177</v>
      </c>
      <c r="C29" s="256">
        <v>35000</v>
      </c>
      <c r="D29" s="256">
        <v>35000</v>
      </c>
      <c r="E29" s="256">
        <v>46024.422040999998</v>
      </c>
      <c r="F29" s="256">
        <v>46024.422040999998</v>
      </c>
      <c r="G29" s="257">
        <f t="shared" si="0"/>
        <v>1.3149834868857142</v>
      </c>
      <c r="H29" s="257">
        <f t="shared" si="0"/>
        <v>1.3149834868857142</v>
      </c>
    </row>
    <row r="30" spans="1:8" s="47" customFormat="1" x14ac:dyDescent="0.25">
      <c r="A30" s="254" t="s">
        <v>184</v>
      </c>
      <c r="B30" s="255" t="s">
        <v>185</v>
      </c>
      <c r="C30" s="256">
        <v>3300</v>
      </c>
      <c r="D30" s="256">
        <v>3300</v>
      </c>
      <c r="E30" s="256">
        <v>3971.148756</v>
      </c>
      <c r="F30" s="256">
        <v>3971.148756</v>
      </c>
      <c r="G30" s="257">
        <f t="shared" si="0"/>
        <v>1.203378410909091</v>
      </c>
      <c r="H30" s="257">
        <f t="shared" si="0"/>
        <v>1.203378410909091</v>
      </c>
    </row>
    <row r="31" spans="1:8" s="47" customFormat="1" x14ac:dyDescent="0.25">
      <c r="A31" s="254" t="s">
        <v>186</v>
      </c>
      <c r="B31" s="255" t="s">
        <v>178</v>
      </c>
      <c r="C31" s="256">
        <v>165000</v>
      </c>
      <c r="D31" s="256">
        <v>165000</v>
      </c>
      <c r="E31" s="256">
        <v>312751.81662300002</v>
      </c>
      <c r="F31" s="256">
        <v>312751.81662300002</v>
      </c>
      <c r="G31" s="257">
        <f t="shared" si="0"/>
        <v>1.8954655552909092</v>
      </c>
      <c r="H31" s="257">
        <f t="shared" si="0"/>
        <v>1.8954655552909092</v>
      </c>
    </row>
    <row r="32" spans="1:8" s="47" customFormat="1" ht="15.75" hidden="1" customHeight="1" outlineLevel="1" x14ac:dyDescent="0.25">
      <c r="A32" s="258" t="s">
        <v>142</v>
      </c>
      <c r="B32" s="255" t="s">
        <v>179</v>
      </c>
      <c r="C32" s="256"/>
      <c r="D32" s="256">
        <v>0</v>
      </c>
      <c r="E32" s="256"/>
      <c r="F32" s="256">
        <v>0</v>
      </c>
      <c r="G32" s="257" t="str">
        <f t="shared" si="0"/>
        <v/>
      </c>
      <c r="H32" s="257" t="str">
        <f t="shared" si="0"/>
        <v/>
      </c>
    </row>
    <row r="33" spans="1:8" s="47" customFormat="1" ht="15.75" hidden="1" customHeight="1" outlineLevel="1" x14ac:dyDescent="0.25">
      <c r="A33" s="258" t="s">
        <v>142</v>
      </c>
      <c r="B33" s="255" t="s">
        <v>180</v>
      </c>
      <c r="C33" s="256"/>
      <c r="D33" s="256">
        <v>0</v>
      </c>
      <c r="E33" s="256"/>
      <c r="F33" s="256">
        <v>0</v>
      </c>
      <c r="G33" s="257" t="str">
        <f t="shared" si="0"/>
        <v/>
      </c>
      <c r="H33" s="257" t="str">
        <f t="shared" si="0"/>
        <v/>
      </c>
    </row>
    <row r="34" spans="1:8" s="47" customFormat="1" collapsed="1" x14ac:dyDescent="0.25">
      <c r="A34" s="250">
        <v>5</v>
      </c>
      <c r="B34" s="251" t="s">
        <v>41</v>
      </c>
      <c r="C34" s="252">
        <v>95000</v>
      </c>
      <c r="D34" s="252">
        <v>95000</v>
      </c>
      <c r="E34" s="252">
        <v>172728.46309999999</v>
      </c>
      <c r="F34" s="252">
        <v>172728.46309999999</v>
      </c>
      <c r="G34" s="253">
        <f t="shared" si="0"/>
        <v>1.8181943484210525</v>
      </c>
      <c r="H34" s="253">
        <f t="shared" si="0"/>
        <v>1.8181943484210525</v>
      </c>
    </row>
    <row r="35" spans="1:8" s="47" customFormat="1" x14ac:dyDescent="0.25">
      <c r="A35" s="250">
        <v>6</v>
      </c>
      <c r="B35" s="251" t="s">
        <v>42</v>
      </c>
      <c r="C35" s="252">
        <v>280000</v>
      </c>
      <c r="D35" s="252">
        <v>134400</v>
      </c>
      <c r="E35" s="252">
        <v>175410.326443</v>
      </c>
      <c r="F35" s="252">
        <v>84219.826442999998</v>
      </c>
      <c r="G35" s="253">
        <f t="shared" si="0"/>
        <v>0.62646545158214284</v>
      </c>
      <c r="H35" s="253">
        <f t="shared" si="0"/>
        <v>0.62663561341517859</v>
      </c>
    </row>
    <row r="36" spans="1:8" s="51" customFormat="1" ht="31.5" x14ac:dyDescent="0.25">
      <c r="A36" s="259" t="s">
        <v>12</v>
      </c>
      <c r="B36" s="239" t="s">
        <v>232</v>
      </c>
      <c r="C36" s="260">
        <v>134400</v>
      </c>
      <c r="D36" s="260">
        <v>134400</v>
      </c>
      <c r="E36" s="260">
        <v>43.605963000000003</v>
      </c>
      <c r="F36" s="260">
        <v>43.605963000000003</v>
      </c>
      <c r="G36" s="261">
        <f t="shared" si="0"/>
        <v>3.2444912946428574E-4</v>
      </c>
      <c r="H36" s="261">
        <f t="shared" si="0"/>
        <v>3.2444912946428574E-4</v>
      </c>
    </row>
    <row r="37" spans="1:8" s="51" customFormat="1" ht="31.5" x14ac:dyDescent="0.25">
      <c r="A37" s="259" t="s">
        <v>12</v>
      </c>
      <c r="B37" s="239" t="s">
        <v>233</v>
      </c>
      <c r="C37" s="260">
        <v>145600</v>
      </c>
      <c r="D37" s="260"/>
      <c r="E37" s="260">
        <v>0</v>
      </c>
      <c r="F37" s="260"/>
      <c r="G37" s="261">
        <f t="shared" si="0"/>
        <v>0</v>
      </c>
      <c r="H37" s="261" t="str">
        <f t="shared" si="0"/>
        <v/>
      </c>
    </row>
    <row r="38" spans="1:8" s="47" customFormat="1" x14ac:dyDescent="0.25">
      <c r="A38" s="250">
        <v>7</v>
      </c>
      <c r="B38" s="251" t="s">
        <v>43</v>
      </c>
      <c r="C38" s="252">
        <v>100000</v>
      </c>
      <c r="D38" s="252">
        <v>100000</v>
      </c>
      <c r="E38" s="252">
        <v>147043.43840300001</v>
      </c>
      <c r="F38" s="252">
        <v>147043.43840300001</v>
      </c>
      <c r="G38" s="253">
        <f t="shared" si="0"/>
        <v>1.47043438403</v>
      </c>
      <c r="H38" s="253">
        <f t="shared" si="0"/>
        <v>1.47043438403</v>
      </c>
    </row>
    <row r="39" spans="1:8" s="47" customFormat="1" x14ac:dyDescent="0.25">
      <c r="A39" s="250">
        <v>8</v>
      </c>
      <c r="B39" s="251" t="s">
        <v>187</v>
      </c>
      <c r="C39" s="252">
        <v>55000</v>
      </c>
      <c r="D39" s="252">
        <v>47000</v>
      </c>
      <c r="E39" s="252">
        <v>60945.236761000007</v>
      </c>
      <c r="F39" s="252">
        <v>46192.209557000002</v>
      </c>
      <c r="G39" s="253">
        <f t="shared" si="0"/>
        <v>1.1080952138363638</v>
      </c>
      <c r="H39" s="253">
        <f t="shared" si="0"/>
        <v>0.98281296929787243</v>
      </c>
    </row>
    <row r="40" spans="1:8" s="51" customFormat="1" x14ac:dyDescent="0.25">
      <c r="A40" s="259" t="s">
        <v>12</v>
      </c>
      <c r="B40" s="239" t="s">
        <v>188</v>
      </c>
      <c r="C40" s="260">
        <v>8000</v>
      </c>
      <c r="D40" s="260"/>
      <c r="E40" s="260">
        <v>15080.479644999999</v>
      </c>
      <c r="F40" s="260">
        <v>327.45244100000002</v>
      </c>
      <c r="G40" s="261">
        <f t="shared" si="0"/>
        <v>1.8850599556249998</v>
      </c>
      <c r="H40" s="253" t="str">
        <f t="shared" si="0"/>
        <v/>
      </c>
    </row>
    <row r="41" spans="1:8" s="51" customFormat="1" x14ac:dyDescent="0.25">
      <c r="A41" s="259" t="s">
        <v>12</v>
      </c>
      <c r="B41" s="239" t="s">
        <v>189</v>
      </c>
      <c r="C41" s="260"/>
      <c r="D41" s="260"/>
      <c r="E41" s="260">
        <v>22742.155186</v>
      </c>
      <c r="F41" s="260">
        <v>22742.155186</v>
      </c>
      <c r="G41" s="261" t="str">
        <f t="shared" si="0"/>
        <v/>
      </c>
      <c r="H41" s="261" t="str">
        <f t="shared" si="0"/>
        <v/>
      </c>
    </row>
    <row r="42" spans="1:8" s="51" customFormat="1" x14ac:dyDescent="0.25">
      <c r="A42" s="259" t="s">
        <v>12</v>
      </c>
      <c r="B42" s="239" t="s">
        <v>190</v>
      </c>
      <c r="C42" s="260"/>
      <c r="D42" s="260">
        <v>0</v>
      </c>
      <c r="E42" s="260">
        <v>11567.772257000001</v>
      </c>
      <c r="F42" s="260">
        <v>11567.772257000001</v>
      </c>
      <c r="G42" s="261" t="str">
        <f t="shared" si="0"/>
        <v/>
      </c>
      <c r="H42" s="261" t="str">
        <f t="shared" si="0"/>
        <v/>
      </c>
    </row>
    <row r="43" spans="1:8" s="51" customFormat="1" x14ac:dyDescent="0.25">
      <c r="A43" s="259" t="s">
        <v>12</v>
      </c>
      <c r="B43" s="239" t="s">
        <v>191</v>
      </c>
      <c r="C43" s="260"/>
      <c r="D43" s="260"/>
      <c r="E43" s="260">
        <v>11554.829673</v>
      </c>
      <c r="F43" s="260">
        <v>11554.829673</v>
      </c>
      <c r="G43" s="261" t="str">
        <f t="shared" si="0"/>
        <v/>
      </c>
      <c r="H43" s="261" t="str">
        <f t="shared" si="0"/>
        <v/>
      </c>
    </row>
    <row r="44" spans="1:8" s="47" customFormat="1" x14ac:dyDescent="0.25">
      <c r="A44" s="250">
        <v>9</v>
      </c>
      <c r="B44" s="251" t="s">
        <v>44</v>
      </c>
      <c r="C44" s="252">
        <v>0</v>
      </c>
      <c r="D44" s="252">
        <v>0</v>
      </c>
      <c r="E44" s="252">
        <v>272.74244299999998</v>
      </c>
      <c r="F44" s="252">
        <v>272.74244299999998</v>
      </c>
      <c r="G44" s="253" t="str">
        <f t="shared" si="0"/>
        <v/>
      </c>
      <c r="H44" s="253" t="str">
        <f t="shared" si="0"/>
        <v/>
      </c>
    </row>
    <row r="45" spans="1:8" s="47" customFormat="1" x14ac:dyDescent="0.25">
      <c r="A45" s="250">
        <v>10</v>
      </c>
      <c r="B45" s="251" t="s">
        <v>45</v>
      </c>
      <c r="C45" s="252">
        <v>3300</v>
      </c>
      <c r="D45" s="252">
        <v>3300</v>
      </c>
      <c r="E45" s="252">
        <v>3501.4469159999999</v>
      </c>
      <c r="F45" s="252">
        <v>3501.4469159999999</v>
      </c>
      <c r="G45" s="253">
        <f t="shared" si="0"/>
        <v>1.06104452</v>
      </c>
      <c r="H45" s="253">
        <f t="shared" si="0"/>
        <v>1.06104452</v>
      </c>
    </row>
    <row r="46" spans="1:8" s="47" customFormat="1" x14ac:dyDescent="0.25">
      <c r="A46" s="250">
        <v>11</v>
      </c>
      <c r="B46" s="251" t="s">
        <v>46</v>
      </c>
      <c r="C46" s="252">
        <v>22000</v>
      </c>
      <c r="D46" s="252">
        <v>22000</v>
      </c>
      <c r="E46" s="252">
        <v>61434.7</v>
      </c>
      <c r="F46" s="252">
        <v>61434.7</v>
      </c>
      <c r="G46" s="253">
        <f t="shared" si="0"/>
        <v>2.7924863636363635</v>
      </c>
      <c r="H46" s="253">
        <f t="shared" si="0"/>
        <v>2.7924863636363635</v>
      </c>
    </row>
    <row r="47" spans="1:8" s="47" customFormat="1" x14ac:dyDescent="0.25">
      <c r="A47" s="250">
        <v>12</v>
      </c>
      <c r="B47" s="251" t="s">
        <v>47</v>
      </c>
      <c r="C47" s="252">
        <v>235000</v>
      </c>
      <c r="D47" s="252">
        <v>235000</v>
      </c>
      <c r="E47" s="252">
        <v>256767.31613699999</v>
      </c>
      <c r="F47" s="252">
        <v>256767.31613699999</v>
      </c>
      <c r="G47" s="253">
        <f t="shared" si="0"/>
        <v>1.0926268771787233</v>
      </c>
      <c r="H47" s="253">
        <f t="shared" si="0"/>
        <v>1.0926268771787233</v>
      </c>
    </row>
    <row r="48" spans="1:8" s="47" customFormat="1" ht="31.5" x14ac:dyDescent="0.25">
      <c r="A48" s="250">
        <v>13</v>
      </c>
      <c r="B48" s="251" t="s">
        <v>48</v>
      </c>
      <c r="C48" s="252"/>
      <c r="D48" s="252"/>
      <c r="E48" s="252">
        <v>266.352889</v>
      </c>
      <c r="F48" s="252">
        <v>266.352889</v>
      </c>
      <c r="G48" s="253" t="str">
        <f t="shared" si="0"/>
        <v/>
      </c>
      <c r="H48" s="253" t="str">
        <f t="shared" si="0"/>
        <v/>
      </c>
    </row>
    <row r="49" spans="1:10" s="47" customFormat="1" x14ac:dyDescent="0.25">
      <c r="A49" s="250">
        <v>14</v>
      </c>
      <c r="B49" s="251" t="s">
        <v>192</v>
      </c>
      <c r="C49" s="252">
        <v>60000</v>
      </c>
      <c r="D49" s="252">
        <v>60000</v>
      </c>
      <c r="E49" s="252">
        <v>118229.16923799999</v>
      </c>
      <c r="F49" s="252">
        <v>118229.16923799999</v>
      </c>
      <c r="G49" s="253">
        <f t="shared" si="0"/>
        <v>1.9704861539666665</v>
      </c>
      <c r="H49" s="253">
        <f t="shared" si="0"/>
        <v>1.9704861539666665</v>
      </c>
    </row>
    <row r="50" spans="1:10" s="47" customFormat="1" hidden="1" x14ac:dyDescent="0.25">
      <c r="A50" s="251"/>
      <c r="B50" s="251" t="s">
        <v>234</v>
      </c>
      <c r="C50" s="262"/>
      <c r="D50" s="252">
        <v>0</v>
      </c>
      <c r="E50" s="262"/>
      <c r="F50" s="252">
        <v>0</v>
      </c>
      <c r="G50" s="253" t="str">
        <f t="shared" si="0"/>
        <v/>
      </c>
      <c r="H50" s="253" t="str">
        <f t="shared" si="0"/>
        <v/>
      </c>
    </row>
    <row r="51" spans="1:10" s="47" customFormat="1" x14ac:dyDescent="0.25">
      <c r="A51" s="250">
        <v>15</v>
      </c>
      <c r="B51" s="251" t="s">
        <v>49</v>
      </c>
      <c r="C51" s="252">
        <v>90000</v>
      </c>
      <c r="D51" s="252">
        <v>34000</v>
      </c>
      <c r="E51" s="252">
        <v>102703.65644200001</v>
      </c>
      <c r="F51" s="252">
        <v>43456.656442000007</v>
      </c>
      <c r="G51" s="253">
        <f t="shared" si="0"/>
        <v>1.1411517382444445</v>
      </c>
      <c r="H51" s="253">
        <f t="shared" si="0"/>
        <v>1.2781369541764709</v>
      </c>
    </row>
    <row r="52" spans="1:10" s="47" customFormat="1" x14ac:dyDescent="0.25">
      <c r="A52" s="250">
        <v>16</v>
      </c>
      <c r="B52" s="251" t="s">
        <v>50</v>
      </c>
      <c r="C52" s="252">
        <v>70000</v>
      </c>
      <c r="D52" s="252">
        <v>48000</v>
      </c>
      <c r="E52" s="252">
        <v>70699</v>
      </c>
      <c r="F52" s="252">
        <v>33584.5</v>
      </c>
      <c r="G52" s="253">
        <f t="shared" si="0"/>
        <v>1.0099857142857143</v>
      </c>
      <c r="H52" s="253">
        <f t="shared" si="0"/>
        <v>0.69967708333333334</v>
      </c>
    </row>
    <row r="53" spans="1:10" s="47" customFormat="1" x14ac:dyDescent="0.25">
      <c r="A53" s="250">
        <v>17</v>
      </c>
      <c r="B53" s="251" t="s">
        <v>51</v>
      </c>
      <c r="C53" s="252">
        <v>700</v>
      </c>
      <c r="D53" s="252">
        <v>700</v>
      </c>
      <c r="E53" s="252">
        <v>1433.847933</v>
      </c>
      <c r="F53" s="252">
        <v>1433.847933</v>
      </c>
      <c r="G53" s="253">
        <f t="shared" si="0"/>
        <v>2.04835419</v>
      </c>
      <c r="H53" s="253">
        <f t="shared" si="0"/>
        <v>2.04835419</v>
      </c>
    </row>
    <row r="54" spans="1:10" s="47" customFormat="1" x14ac:dyDescent="0.25">
      <c r="A54" s="250">
        <v>18</v>
      </c>
      <c r="B54" s="251" t="s">
        <v>559</v>
      </c>
      <c r="C54" s="252">
        <v>2000</v>
      </c>
      <c r="D54" s="252">
        <v>2000</v>
      </c>
      <c r="E54" s="252">
        <v>2196.0863279999999</v>
      </c>
      <c r="F54" s="252">
        <v>2196.0863279999999</v>
      </c>
      <c r="G54" s="253">
        <f t="shared" si="0"/>
        <v>1.0980431639999999</v>
      </c>
      <c r="H54" s="253">
        <f t="shared" si="0"/>
        <v>1.0980431639999999</v>
      </c>
    </row>
    <row r="55" spans="1:10" s="47" customFormat="1" ht="47.25" x14ac:dyDescent="0.25">
      <c r="A55" s="250">
        <v>19</v>
      </c>
      <c r="B55" s="251" t="s">
        <v>558</v>
      </c>
      <c r="C55" s="252"/>
      <c r="D55" s="252"/>
      <c r="E55" s="252"/>
      <c r="F55" s="252"/>
      <c r="G55" s="253" t="str">
        <f t="shared" si="0"/>
        <v/>
      </c>
      <c r="H55" s="253" t="str">
        <f t="shared" si="0"/>
        <v/>
      </c>
    </row>
    <row r="56" spans="1:10" s="47" customFormat="1" x14ac:dyDescent="0.25">
      <c r="A56" s="250">
        <v>20</v>
      </c>
      <c r="B56" s="251" t="s">
        <v>557</v>
      </c>
      <c r="C56" s="252"/>
      <c r="D56" s="252"/>
      <c r="E56" s="252"/>
      <c r="F56" s="252"/>
      <c r="G56" s="253" t="str">
        <f t="shared" si="0"/>
        <v/>
      </c>
      <c r="H56" s="253" t="str">
        <f t="shared" si="0"/>
        <v/>
      </c>
    </row>
    <row r="57" spans="1:10" s="47" customFormat="1" ht="47.25" x14ac:dyDescent="0.25">
      <c r="A57" s="250">
        <v>21</v>
      </c>
      <c r="B57" s="251" t="s">
        <v>235</v>
      </c>
      <c r="C57" s="252">
        <v>1213000</v>
      </c>
      <c r="D57" s="252">
        <v>1213000</v>
      </c>
      <c r="E57" s="252">
        <v>511288.3</v>
      </c>
      <c r="F57" s="252">
        <v>511288.3</v>
      </c>
      <c r="G57" s="253">
        <f t="shared" si="0"/>
        <v>0.42150725474031325</v>
      </c>
      <c r="H57" s="253">
        <f t="shared" si="0"/>
        <v>0.42150725474031325</v>
      </c>
    </row>
    <row r="58" spans="1:10" s="47" customFormat="1" ht="15.75" hidden="1" customHeight="1" outlineLevel="1" x14ac:dyDescent="0.25">
      <c r="A58" s="259" t="s">
        <v>236</v>
      </c>
      <c r="B58" s="239" t="s">
        <v>72</v>
      </c>
      <c r="C58" s="260"/>
      <c r="D58" s="260"/>
      <c r="E58" s="260"/>
      <c r="F58" s="260"/>
      <c r="G58" s="261"/>
      <c r="H58" s="261"/>
    </row>
    <row r="59" spans="1:10" s="50" customFormat="1" ht="31.5" hidden="1" customHeight="1" outlineLevel="1" x14ac:dyDescent="0.25">
      <c r="A59" s="263" t="s">
        <v>12</v>
      </c>
      <c r="B59" s="239" t="s">
        <v>237</v>
      </c>
      <c r="C59" s="260"/>
      <c r="D59" s="260"/>
      <c r="E59" s="260">
        <v>701</v>
      </c>
      <c r="F59" s="260">
        <v>701</v>
      </c>
      <c r="G59" s="261"/>
      <c r="H59" s="261"/>
    </row>
    <row r="60" spans="1:10" s="50" customFormat="1" ht="47.25" hidden="1" customHeight="1" outlineLevel="1" x14ac:dyDescent="0.25">
      <c r="A60" s="263" t="s">
        <v>12</v>
      </c>
      <c r="B60" s="239" t="s">
        <v>428</v>
      </c>
      <c r="C60" s="260"/>
      <c r="D60" s="260"/>
      <c r="E60" s="260">
        <v>352782</v>
      </c>
      <c r="F60" s="260">
        <v>352782</v>
      </c>
      <c r="G60" s="261"/>
      <c r="H60" s="261"/>
    </row>
    <row r="61" spans="1:10" s="50" customFormat="1" ht="47.25" hidden="1" customHeight="1" outlineLevel="1" x14ac:dyDescent="0.25">
      <c r="A61" s="263" t="s">
        <v>12</v>
      </c>
      <c r="B61" s="239" t="s">
        <v>554</v>
      </c>
      <c r="C61" s="260"/>
      <c r="D61" s="260"/>
      <c r="E61" s="260">
        <v>88637</v>
      </c>
      <c r="F61" s="260">
        <v>88637</v>
      </c>
      <c r="G61" s="261"/>
      <c r="H61" s="261"/>
    </row>
    <row r="62" spans="1:10" s="50" customFormat="1" ht="47.25" hidden="1" customHeight="1" outlineLevel="1" x14ac:dyDescent="0.25">
      <c r="A62" s="263" t="s">
        <v>12</v>
      </c>
      <c r="B62" s="239" t="s">
        <v>429</v>
      </c>
      <c r="C62" s="260"/>
      <c r="D62" s="260"/>
      <c r="E62" s="260">
        <v>3669.3</v>
      </c>
      <c r="F62" s="260">
        <v>3669.3</v>
      </c>
      <c r="G62" s="261"/>
      <c r="H62" s="261"/>
    </row>
    <row r="63" spans="1:10" s="152" customFormat="1" ht="31.5" hidden="1" customHeight="1" outlineLevel="1" x14ac:dyDescent="0.25">
      <c r="A63" s="264" t="s">
        <v>12</v>
      </c>
      <c r="B63" s="239" t="s">
        <v>555</v>
      </c>
      <c r="C63" s="252"/>
      <c r="D63" s="252"/>
      <c r="E63" s="260">
        <v>12474</v>
      </c>
      <c r="F63" s="260">
        <v>12474</v>
      </c>
      <c r="G63" s="253"/>
      <c r="H63" s="253"/>
      <c r="J63" s="153"/>
    </row>
    <row r="64" spans="1:10" s="152" customFormat="1" ht="31.5" hidden="1" customHeight="1" outlineLevel="1" x14ac:dyDescent="0.25">
      <c r="A64" s="263" t="s">
        <v>12</v>
      </c>
      <c r="B64" s="239" t="s">
        <v>430</v>
      </c>
      <c r="C64" s="260"/>
      <c r="D64" s="260"/>
      <c r="E64" s="260">
        <v>42874</v>
      </c>
      <c r="F64" s="260">
        <v>42874</v>
      </c>
      <c r="G64" s="261"/>
      <c r="H64" s="261"/>
      <c r="J64" s="153"/>
    </row>
    <row r="65" spans="1:10" s="152" customFormat="1" ht="31.5" hidden="1" customHeight="1" outlineLevel="1" x14ac:dyDescent="0.25">
      <c r="A65" s="250"/>
      <c r="B65" s="239" t="s">
        <v>431</v>
      </c>
      <c r="C65" s="252"/>
      <c r="D65" s="252"/>
      <c r="E65" s="260">
        <v>10151</v>
      </c>
      <c r="F65" s="260">
        <v>10151</v>
      </c>
      <c r="G65" s="253"/>
      <c r="H65" s="253"/>
      <c r="J65" s="153"/>
    </row>
    <row r="66" spans="1:10" ht="31.5" collapsed="1" x14ac:dyDescent="0.25">
      <c r="A66" s="250">
        <v>22</v>
      </c>
      <c r="B66" s="251" t="s">
        <v>432</v>
      </c>
      <c r="C66" s="252">
        <v>0</v>
      </c>
      <c r="D66" s="252">
        <v>0</v>
      </c>
      <c r="E66" s="252"/>
      <c r="F66" s="252"/>
      <c r="G66" s="253" t="str">
        <f t="shared" ref="G66:H66" si="1">IFERROR(E66/C66,"")</f>
        <v/>
      </c>
      <c r="H66" s="253" t="str">
        <f t="shared" si="1"/>
        <v/>
      </c>
    </row>
    <row r="67" spans="1:10" x14ac:dyDescent="0.25">
      <c r="A67" s="250" t="s">
        <v>25</v>
      </c>
      <c r="B67" s="251" t="s">
        <v>52</v>
      </c>
      <c r="C67" s="256"/>
      <c r="D67" s="256"/>
      <c r="E67" s="256"/>
      <c r="F67" s="256"/>
      <c r="G67" s="253" t="str">
        <f t="shared" si="0"/>
        <v/>
      </c>
      <c r="H67" s="253" t="str">
        <f t="shared" si="0"/>
        <v/>
      </c>
    </row>
    <row r="68" spans="1:10" x14ac:dyDescent="0.25">
      <c r="A68" s="250" t="s">
        <v>29</v>
      </c>
      <c r="B68" s="251" t="s">
        <v>193</v>
      </c>
      <c r="C68" s="252">
        <v>270000</v>
      </c>
      <c r="D68" s="252">
        <v>0</v>
      </c>
      <c r="E68" s="252">
        <v>326103.87489500002</v>
      </c>
      <c r="F68" s="252">
        <v>0</v>
      </c>
      <c r="G68" s="253">
        <f t="shared" si="0"/>
        <v>1.2077921292407408</v>
      </c>
      <c r="H68" s="253" t="str">
        <f t="shared" si="0"/>
        <v/>
      </c>
    </row>
    <row r="69" spans="1:10" x14ac:dyDescent="0.25">
      <c r="A69" s="254">
        <v>1</v>
      </c>
      <c r="B69" s="255" t="s">
        <v>53</v>
      </c>
      <c r="C69" s="256">
        <v>4500</v>
      </c>
      <c r="D69" s="256"/>
      <c r="E69" s="256">
        <v>6968.4344369999999</v>
      </c>
      <c r="F69" s="256"/>
      <c r="G69" s="257">
        <f t="shared" si="0"/>
        <v>1.5485409859999999</v>
      </c>
      <c r="H69" s="257" t="str">
        <f t="shared" si="0"/>
        <v/>
      </c>
    </row>
    <row r="70" spans="1:10" x14ac:dyDescent="0.25">
      <c r="A70" s="254">
        <v>2</v>
      </c>
      <c r="B70" s="255" t="s">
        <v>54</v>
      </c>
      <c r="C70" s="256">
        <v>3640</v>
      </c>
      <c r="D70" s="256"/>
      <c r="E70" s="256">
        <v>7435.2183779999996</v>
      </c>
      <c r="F70" s="256"/>
      <c r="G70" s="257">
        <f t="shared" si="0"/>
        <v>2.0426424115384614</v>
      </c>
      <c r="H70" s="257" t="str">
        <f t="shared" si="0"/>
        <v/>
      </c>
    </row>
    <row r="71" spans="1:10" x14ac:dyDescent="0.25">
      <c r="A71" s="254">
        <v>3</v>
      </c>
      <c r="B71" s="255" t="s">
        <v>173</v>
      </c>
      <c r="C71" s="256">
        <v>0</v>
      </c>
      <c r="D71" s="256"/>
      <c r="E71" s="256"/>
      <c r="F71" s="256"/>
      <c r="G71" s="257" t="str">
        <f t="shared" si="0"/>
        <v/>
      </c>
      <c r="H71" s="257" t="str">
        <f t="shared" si="0"/>
        <v/>
      </c>
    </row>
    <row r="72" spans="1:10" x14ac:dyDescent="0.25">
      <c r="A72" s="254">
        <v>4</v>
      </c>
      <c r="B72" s="255" t="s">
        <v>194</v>
      </c>
      <c r="C72" s="256">
        <v>261860</v>
      </c>
      <c r="D72" s="256"/>
      <c r="E72" s="256">
        <v>0.18809999999999999</v>
      </c>
      <c r="F72" s="256"/>
      <c r="G72" s="257">
        <f t="shared" si="0"/>
        <v>7.1832276789123956E-7</v>
      </c>
      <c r="H72" s="257" t="str">
        <f t="shared" si="0"/>
        <v/>
      </c>
    </row>
    <row r="73" spans="1:10" x14ac:dyDescent="0.25">
      <c r="A73" s="254">
        <v>5</v>
      </c>
      <c r="B73" s="255" t="s">
        <v>195</v>
      </c>
      <c r="C73" s="256">
        <v>0</v>
      </c>
      <c r="D73" s="256"/>
      <c r="E73" s="256">
        <v>311046.13649100001</v>
      </c>
      <c r="F73" s="256"/>
      <c r="G73" s="257" t="str">
        <f t="shared" si="0"/>
        <v/>
      </c>
      <c r="H73" s="257" t="str">
        <f t="shared" si="0"/>
        <v/>
      </c>
    </row>
    <row r="74" spans="1:10" x14ac:dyDescent="0.25">
      <c r="A74" s="254">
        <v>6</v>
      </c>
      <c r="B74" s="255" t="s">
        <v>55</v>
      </c>
      <c r="C74" s="256">
        <v>0</v>
      </c>
      <c r="D74" s="256"/>
      <c r="E74" s="256">
        <v>653.89748899999995</v>
      </c>
      <c r="F74" s="256"/>
      <c r="G74" s="257" t="str">
        <f t="shared" si="0"/>
        <v/>
      </c>
      <c r="H74" s="257" t="str">
        <f t="shared" si="0"/>
        <v/>
      </c>
    </row>
    <row r="75" spans="1:10" x14ac:dyDescent="0.25">
      <c r="A75" s="250" t="s">
        <v>56</v>
      </c>
      <c r="B75" s="251" t="s">
        <v>196</v>
      </c>
      <c r="C75" s="252"/>
      <c r="D75" s="252"/>
      <c r="E75" s="252">
        <v>300</v>
      </c>
      <c r="F75" s="252">
        <v>300</v>
      </c>
      <c r="G75" s="253" t="str">
        <f t="shared" si="0"/>
        <v/>
      </c>
      <c r="H75" s="253" t="str">
        <f t="shared" si="0"/>
        <v/>
      </c>
    </row>
    <row r="76" spans="1:10" x14ac:dyDescent="0.25">
      <c r="A76" s="250" t="s">
        <v>73</v>
      </c>
      <c r="B76" s="251" t="s">
        <v>18</v>
      </c>
      <c r="C76" s="252"/>
      <c r="D76" s="252"/>
      <c r="E76" s="252">
        <v>0</v>
      </c>
      <c r="F76" s="252"/>
      <c r="G76" s="253" t="str">
        <f t="shared" si="0"/>
        <v/>
      </c>
      <c r="H76" s="253" t="str">
        <f t="shared" si="0"/>
        <v/>
      </c>
    </row>
    <row r="77" spans="1:10" x14ac:dyDescent="0.25">
      <c r="A77" s="250" t="s">
        <v>8</v>
      </c>
      <c r="B77" s="251" t="s">
        <v>238</v>
      </c>
      <c r="C77" s="256"/>
      <c r="D77" s="256"/>
      <c r="E77" s="252">
        <v>148672.65680200001</v>
      </c>
      <c r="F77" s="252">
        <v>22936.998068000001</v>
      </c>
      <c r="G77" s="253" t="str">
        <f t="shared" si="0"/>
        <v/>
      </c>
      <c r="H77" s="253" t="str">
        <f t="shared" si="0"/>
        <v/>
      </c>
    </row>
    <row r="78" spans="1:10" x14ac:dyDescent="0.25">
      <c r="A78" s="265" t="s">
        <v>39</v>
      </c>
      <c r="B78" s="266" t="s">
        <v>239</v>
      </c>
      <c r="C78" s="256"/>
      <c r="D78" s="256"/>
      <c r="E78" s="256">
        <v>22936.998068000001</v>
      </c>
      <c r="F78" s="256">
        <v>22936.998068000001</v>
      </c>
      <c r="G78" s="253"/>
      <c r="H78" s="253"/>
    </row>
    <row r="79" spans="1:10" x14ac:dyDescent="0.25">
      <c r="A79" s="265" t="s">
        <v>25</v>
      </c>
      <c r="B79" s="266" t="s">
        <v>556</v>
      </c>
      <c r="C79" s="256"/>
      <c r="D79" s="256"/>
      <c r="E79" s="256">
        <v>125735.658734</v>
      </c>
      <c r="F79" s="256"/>
      <c r="G79" s="253"/>
      <c r="H79" s="253"/>
    </row>
    <row r="80" spans="1:10" x14ac:dyDescent="0.25">
      <c r="A80" s="250" t="s">
        <v>31</v>
      </c>
      <c r="B80" s="251" t="s">
        <v>57</v>
      </c>
      <c r="C80" s="252"/>
      <c r="D80" s="252"/>
      <c r="E80" s="252">
        <v>51794.075448000003</v>
      </c>
      <c r="F80" s="252">
        <v>51794.075448000003</v>
      </c>
      <c r="G80" s="253" t="str">
        <f t="shared" si="0"/>
        <v/>
      </c>
      <c r="H80" s="253" t="str">
        <f t="shared" si="0"/>
        <v/>
      </c>
    </row>
    <row r="81" spans="1:8" ht="30.75" customHeight="1" x14ac:dyDescent="0.25">
      <c r="A81" s="267" t="s">
        <v>32</v>
      </c>
      <c r="B81" s="268" t="s">
        <v>58</v>
      </c>
      <c r="C81" s="269"/>
      <c r="D81" s="269"/>
      <c r="E81" s="269">
        <v>2204821.3496130002</v>
      </c>
      <c r="F81" s="269">
        <v>2204821.3496130002</v>
      </c>
      <c r="G81" s="270" t="str">
        <f t="shared" si="0"/>
        <v/>
      </c>
      <c r="H81" s="270" t="str">
        <f t="shared" si="0"/>
        <v/>
      </c>
    </row>
  </sheetData>
  <mergeCells count="7">
    <mergeCell ref="A3:H3"/>
    <mergeCell ref="A4:H4"/>
    <mergeCell ref="A6:A7"/>
    <mergeCell ref="B6:B7"/>
    <mergeCell ref="C6:D6"/>
    <mergeCell ref="E6:F6"/>
    <mergeCell ref="G6:H6"/>
  </mergeCells>
  <printOptions horizontalCentered="1"/>
  <pageMargins left="0" right="0" top="0.75" bottom="0.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0"/>
  <sheetViews>
    <sheetView showZeros="0" zoomScale="85" zoomScaleNormal="85" workbookViewId="0">
      <pane xSplit="2" ySplit="7" topLeftCell="C8" activePane="bottomRight" state="frozen"/>
      <selection pane="topRight" activeCell="C1" sqref="C1"/>
      <selection pane="bottomLeft" activeCell="A9" sqref="A9"/>
      <selection pane="bottomRight" activeCell="A3" sqref="A3:K3"/>
    </sheetView>
  </sheetViews>
  <sheetFormatPr defaultColWidth="9.140625" defaultRowHeight="15" x14ac:dyDescent="0.25"/>
  <cols>
    <col min="1" max="1" width="7.28515625" style="126" customWidth="1"/>
    <col min="2" max="2" width="38.140625" style="126" customWidth="1"/>
    <col min="3" max="3" width="13.42578125" style="126" customWidth="1"/>
    <col min="4" max="4" width="11.7109375" style="126" customWidth="1"/>
    <col min="5" max="5" width="12.7109375" style="126" customWidth="1"/>
    <col min="6" max="6" width="14" style="126" customWidth="1"/>
    <col min="7" max="7" width="12.5703125" style="126" customWidth="1"/>
    <col min="8" max="8" width="12.140625" style="126" customWidth="1"/>
    <col min="9" max="9" width="11.7109375" style="126" bestFit="1" customWidth="1"/>
    <col min="10" max="10" width="9.7109375" style="126" bestFit="1" customWidth="1"/>
    <col min="11" max="11" width="10.85546875" style="126" bestFit="1" customWidth="1"/>
    <col min="12" max="12" width="18.7109375" style="126" customWidth="1"/>
    <col min="13" max="14" width="13.140625" style="126" bestFit="1" customWidth="1"/>
    <col min="15" max="15" width="14.140625" style="126" bestFit="1" customWidth="1"/>
    <col min="16" max="17" width="13.140625" style="126" bestFit="1" customWidth="1"/>
    <col min="18" max="257" width="9.140625" style="126"/>
    <col min="258" max="258" width="38.140625" style="126" customWidth="1"/>
    <col min="259" max="259" width="11.85546875" style="126" customWidth="1"/>
    <col min="260" max="260" width="10.5703125" style="126" customWidth="1"/>
    <col min="261" max="261" width="11" style="126" customWidth="1"/>
    <col min="262" max="264" width="10" style="126" bestFit="1" customWidth="1"/>
    <col min="265" max="265" width="11.42578125" style="126" bestFit="1" customWidth="1"/>
    <col min="266" max="267" width="9.140625" style="126"/>
    <col min="268" max="268" width="29.5703125" style="126" customWidth="1"/>
    <col min="269" max="269" width="10.140625" style="126" bestFit="1" customWidth="1"/>
    <col min="270" max="513" width="9.140625" style="126"/>
    <col min="514" max="514" width="38.140625" style="126" customWidth="1"/>
    <col min="515" max="515" width="11.85546875" style="126" customWidth="1"/>
    <col min="516" max="516" width="10.5703125" style="126" customWidth="1"/>
    <col min="517" max="517" width="11" style="126" customWidth="1"/>
    <col min="518" max="520" width="10" style="126" bestFit="1" customWidth="1"/>
    <col min="521" max="521" width="11.42578125" style="126" bestFit="1" customWidth="1"/>
    <col min="522" max="523" width="9.140625" style="126"/>
    <col min="524" max="524" width="29.5703125" style="126" customWidth="1"/>
    <col min="525" max="525" width="10.140625" style="126" bestFit="1" customWidth="1"/>
    <col min="526" max="769" width="9.140625" style="126"/>
    <col min="770" max="770" width="38.140625" style="126" customWidth="1"/>
    <col min="771" max="771" width="11.85546875" style="126" customWidth="1"/>
    <col min="772" max="772" width="10.5703125" style="126" customWidth="1"/>
    <col min="773" max="773" width="11" style="126" customWidth="1"/>
    <col min="774" max="776" width="10" style="126" bestFit="1" customWidth="1"/>
    <col min="777" max="777" width="11.42578125" style="126" bestFit="1" customWidth="1"/>
    <col min="778" max="779" width="9.140625" style="126"/>
    <col min="780" max="780" width="29.5703125" style="126" customWidth="1"/>
    <col min="781" max="781" width="10.140625" style="126" bestFit="1" customWidth="1"/>
    <col min="782" max="1025" width="9.140625" style="126"/>
    <col min="1026" max="1026" width="38.140625" style="126" customWidth="1"/>
    <col min="1027" max="1027" width="11.85546875" style="126" customWidth="1"/>
    <col min="1028" max="1028" width="10.5703125" style="126" customWidth="1"/>
    <col min="1029" max="1029" width="11" style="126" customWidth="1"/>
    <col min="1030" max="1032" width="10" style="126" bestFit="1" customWidth="1"/>
    <col min="1033" max="1033" width="11.42578125" style="126" bestFit="1" customWidth="1"/>
    <col min="1034" max="1035" width="9.140625" style="126"/>
    <col min="1036" max="1036" width="29.5703125" style="126" customWidth="1"/>
    <col min="1037" max="1037" width="10.140625" style="126" bestFit="1" customWidth="1"/>
    <col min="1038" max="1281" width="9.140625" style="126"/>
    <col min="1282" max="1282" width="38.140625" style="126" customWidth="1"/>
    <col min="1283" max="1283" width="11.85546875" style="126" customWidth="1"/>
    <col min="1284" max="1284" width="10.5703125" style="126" customWidth="1"/>
    <col min="1285" max="1285" width="11" style="126" customWidth="1"/>
    <col min="1286" max="1288" width="10" style="126" bestFit="1" customWidth="1"/>
    <col min="1289" max="1289" width="11.42578125" style="126" bestFit="1" customWidth="1"/>
    <col min="1290" max="1291" width="9.140625" style="126"/>
    <col min="1292" max="1292" width="29.5703125" style="126" customWidth="1"/>
    <col min="1293" max="1293" width="10.140625" style="126" bestFit="1" customWidth="1"/>
    <col min="1294" max="1537" width="9.140625" style="126"/>
    <col min="1538" max="1538" width="38.140625" style="126" customWidth="1"/>
    <col min="1539" max="1539" width="11.85546875" style="126" customWidth="1"/>
    <col min="1540" max="1540" width="10.5703125" style="126" customWidth="1"/>
    <col min="1541" max="1541" width="11" style="126" customWidth="1"/>
    <col min="1542" max="1544" width="10" style="126" bestFit="1" customWidth="1"/>
    <col min="1545" max="1545" width="11.42578125" style="126" bestFit="1" customWidth="1"/>
    <col min="1546" max="1547" width="9.140625" style="126"/>
    <col min="1548" max="1548" width="29.5703125" style="126" customWidth="1"/>
    <col min="1549" max="1549" width="10.140625" style="126" bestFit="1" customWidth="1"/>
    <col min="1550" max="1793" width="9.140625" style="126"/>
    <col min="1794" max="1794" width="38.140625" style="126" customWidth="1"/>
    <col min="1795" max="1795" width="11.85546875" style="126" customWidth="1"/>
    <col min="1796" max="1796" width="10.5703125" style="126" customWidth="1"/>
    <col min="1797" max="1797" width="11" style="126" customWidth="1"/>
    <col min="1798" max="1800" width="10" style="126" bestFit="1" customWidth="1"/>
    <col min="1801" max="1801" width="11.42578125" style="126" bestFit="1" customWidth="1"/>
    <col min="1802" max="1803" width="9.140625" style="126"/>
    <col min="1804" max="1804" width="29.5703125" style="126" customWidth="1"/>
    <col min="1805" max="1805" width="10.140625" style="126" bestFit="1" customWidth="1"/>
    <col min="1806" max="2049" width="9.140625" style="126"/>
    <col min="2050" max="2050" width="38.140625" style="126" customWidth="1"/>
    <col min="2051" max="2051" width="11.85546875" style="126" customWidth="1"/>
    <col min="2052" max="2052" width="10.5703125" style="126" customWidth="1"/>
    <col min="2053" max="2053" width="11" style="126" customWidth="1"/>
    <col min="2054" max="2056" width="10" style="126" bestFit="1" customWidth="1"/>
    <col min="2057" max="2057" width="11.42578125" style="126" bestFit="1" customWidth="1"/>
    <col min="2058" max="2059" width="9.140625" style="126"/>
    <col min="2060" max="2060" width="29.5703125" style="126" customWidth="1"/>
    <col min="2061" max="2061" width="10.140625" style="126" bestFit="1" customWidth="1"/>
    <col min="2062" max="2305" width="9.140625" style="126"/>
    <col min="2306" max="2306" width="38.140625" style="126" customWidth="1"/>
    <col min="2307" max="2307" width="11.85546875" style="126" customWidth="1"/>
    <col min="2308" max="2308" width="10.5703125" style="126" customWidth="1"/>
    <col min="2309" max="2309" width="11" style="126" customWidth="1"/>
    <col min="2310" max="2312" width="10" style="126" bestFit="1" customWidth="1"/>
    <col min="2313" max="2313" width="11.42578125" style="126" bestFit="1" customWidth="1"/>
    <col min="2314" max="2315" width="9.140625" style="126"/>
    <col min="2316" max="2316" width="29.5703125" style="126" customWidth="1"/>
    <col min="2317" max="2317" width="10.140625" style="126" bestFit="1" customWidth="1"/>
    <col min="2318" max="2561" width="9.140625" style="126"/>
    <col min="2562" max="2562" width="38.140625" style="126" customWidth="1"/>
    <col min="2563" max="2563" width="11.85546875" style="126" customWidth="1"/>
    <col min="2564" max="2564" width="10.5703125" style="126" customWidth="1"/>
    <col min="2565" max="2565" width="11" style="126" customWidth="1"/>
    <col min="2566" max="2568" width="10" style="126" bestFit="1" customWidth="1"/>
    <col min="2569" max="2569" width="11.42578125" style="126" bestFit="1" customWidth="1"/>
    <col min="2570" max="2571" width="9.140625" style="126"/>
    <col min="2572" max="2572" width="29.5703125" style="126" customWidth="1"/>
    <col min="2573" max="2573" width="10.140625" style="126" bestFit="1" customWidth="1"/>
    <col min="2574" max="2817" width="9.140625" style="126"/>
    <col min="2818" max="2818" width="38.140625" style="126" customWidth="1"/>
    <col min="2819" max="2819" width="11.85546875" style="126" customWidth="1"/>
    <col min="2820" max="2820" width="10.5703125" style="126" customWidth="1"/>
    <col min="2821" max="2821" width="11" style="126" customWidth="1"/>
    <col min="2822" max="2824" width="10" style="126" bestFit="1" customWidth="1"/>
    <col min="2825" max="2825" width="11.42578125" style="126" bestFit="1" customWidth="1"/>
    <col min="2826" max="2827" width="9.140625" style="126"/>
    <col min="2828" max="2828" width="29.5703125" style="126" customWidth="1"/>
    <col min="2829" max="2829" width="10.140625" style="126" bestFit="1" customWidth="1"/>
    <col min="2830" max="3073" width="9.140625" style="126"/>
    <col min="3074" max="3074" width="38.140625" style="126" customWidth="1"/>
    <col min="3075" max="3075" width="11.85546875" style="126" customWidth="1"/>
    <col min="3076" max="3076" width="10.5703125" style="126" customWidth="1"/>
    <col min="3077" max="3077" width="11" style="126" customWidth="1"/>
    <col min="3078" max="3080" width="10" style="126" bestFit="1" customWidth="1"/>
    <col min="3081" max="3081" width="11.42578125" style="126" bestFit="1" customWidth="1"/>
    <col min="3082" max="3083" width="9.140625" style="126"/>
    <col min="3084" max="3084" width="29.5703125" style="126" customWidth="1"/>
    <col min="3085" max="3085" width="10.140625" style="126" bestFit="1" customWidth="1"/>
    <col min="3086" max="3329" width="9.140625" style="126"/>
    <col min="3330" max="3330" width="38.140625" style="126" customWidth="1"/>
    <col min="3331" max="3331" width="11.85546875" style="126" customWidth="1"/>
    <col min="3332" max="3332" width="10.5703125" style="126" customWidth="1"/>
    <col min="3333" max="3333" width="11" style="126" customWidth="1"/>
    <col min="3334" max="3336" width="10" style="126" bestFit="1" customWidth="1"/>
    <col min="3337" max="3337" width="11.42578125" style="126" bestFit="1" customWidth="1"/>
    <col min="3338" max="3339" width="9.140625" style="126"/>
    <col min="3340" max="3340" width="29.5703125" style="126" customWidth="1"/>
    <col min="3341" max="3341" width="10.140625" style="126" bestFit="1" customWidth="1"/>
    <col min="3342" max="3585" width="9.140625" style="126"/>
    <col min="3586" max="3586" width="38.140625" style="126" customWidth="1"/>
    <col min="3587" max="3587" width="11.85546875" style="126" customWidth="1"/>
    <col min="3588" max="3588" width="10.5703125" style="126" customWidth="1"/>
    <col min="3589" max="3589" width="11" style="126" customWidth="1"/>
    <col min="3590" max="3592" width="10" style="126" bestFit="1" customWidth="1"/>
    <col min="3593" max="3593" width="11.42578125" style="126" bestFit="1" customWidth="1"/>
    <col min="3594" max="3595" width="9.140625" style="126"/>
    <col min="3596" max="3596" width="29.5703125" style="126" customWidth="1"/>
    <col min="3597" max="3597" width="10.140625" style="126" bestFit="1" customWidth="1"/>
    <col min="3598" max="3841" width="9.140625" style="126"/>
    <col min="3842" max="3842" width="38.140625" style="126" customWidth="1"/>
    <col min="3843" max="3843" width="11.85546875" style="126" customWidth="1"/>
    <col min="3844" max="3844" width="10.5703125" style="126" customWidth="1"/>
    <col min="3845" max="3845" width="11" style="126" customWidth="1"/>
    <col min="3846" max="3848" width="10" style="126" bestFit="1" customWidth="1"/>
    <col min="3849" max="3849" width="11.42578125" style="126" bestFit="1" customWidth="1"/>
    <col min="3850" max="3851" width="9.140625" style="126"/>
    <col min="3852" max="3852" width="29.5703125" style="126" customWidth="1"/>
    <col min="3853" max="3853" width="10.140625" style="126" bestFit="1" customWidth="1"/>
    <col min="3854" max="4097" width="9.140625" style="126"/>
    <col min="4098" max="4098" width="38.140625" style="126" customWidth="1"/>
    <col min="4099" max="4099" width="11.85546875" style="126" customWidth="1"/>
    <col min="4100" max="4100" width="10.5703125" style="126" customWidth="1"/>
    <col min="4101" max="4101" width="11" style="126" customWidth="1"/>
    <col min="4102" max="4104" width="10" style="126" bestFit="1" customWidth="1"/>
    <col min="4105" max="4105" width="11.42578125" style="126" bestFit="1" customWidth="1"/>
    <col min="4106" max="4107" width="9.140625" style="126"/>
    <col min="4108" max="4108" width="29.5703125" style="126" customWidth="1"/>
    <col min="4109" max="4109" width="10.140625" style="126" bestFit="1" customWidth="1"/>
    <col min="4110" max="4353" width="9.140625" style="126"/>
    <col min="4354" max="4354" width="38.140625" style="126" customWidth="1"/>
    <col min="4355" max="4355" width="11.85546875" style="126" customWidth="1"/>
    <col min="4356" max="4356" width="10.5703125" style="126" customWidth="1"/>
    <col min="4357" max="4357" width="11" style="126" customWidth="1"/>
    <col min="4358" max="4360" width="10" style="126" bestFit="1" customWidth="1"/>
    <col min="4361" max="4361" width="11.42578125" style="126" bestFit="1" customWidth="1"/>
    <col min="4362" max="4363" width="9.140625" style="126"/>
    <col min="4364" max="4364" width="29.5703125" style="126" customWidth="1"/>
    <col min="4365" max="4365" width="10.140625" style="126" bestFit="1" customWidth="1"/>
    <col min="4366" max="4609" width="9.140625" style="126"/>
    <col min="4610" max="4610" width="38.140625" style="126" customWidth="1"/>
    <col min="4611" max="4611" width="11.85546875" style="126" customWidth="1"/>
    <col min="4612" max="4612" width="10.5703125" style="126" customWidth="1"/>
    <col min="4613" max="4613" width="11" style="126" customWidth="1"/>
    <col min="4614" max="4616" width="10" style="126" bestFit="1" customWidth="1"/>
    <col min="4617" max="4617" width="11.42578125" style="126" bestFit="1" customWidth="1"/>
    <col min="4618" max="4619" width="9.140625" style="126"/>
    <col min="4620" max="4620" width="29.5703125" style="126" customWidth="1"/>
    <col min="4621" max="4621" width="10.140625" style="126" bestFit="1" customWidth="1"/>
    <col min="4622" max="4865" width="9.140625" style="126"/>
    <col min="4866" max="4866" width="38.140625" style="126" customWidth="1"/>
    <col min="4867" max="4867" width="11.85546875" style="126" customWidth="1"/>
    <col min="4868" max="4868" width="10.5703125" style="126" customWidth="1"/>
    <col min="4869" max="4869" width="11" style="126" customWidth="1"/>
    <col min="4870" max="4872" width="10" style="126" bestFit="1" customWidth="1"/>
    <col min="4873" max="4873" width="11.42578125" style="126" bestFit="1" customWidth="1"/>
    <col min="4874" max="4875" width="9.140625" style="126"/>
    <col min="4876" max="4876" width="29.5703125" style="126" customWidth="1"/>
    <col min="4877" max="4877" width="10.140625" style="126" bestFit="1" customWidth="1"/>
    <col min="4878" max="5121" width="9.140625" style="126"/>
    <col min="5122" max="5122" width="38.140625" style="126" customWidth="1"/>
    <col min="5123" max="5123" width="11.85546875" style="126" customWidth="1"/>
    <col min="5124" max="5124" width="10.5703125" style="126" customWidth="1"/>
    <col min="5125" max="5125" width="11" style="126" customWidth="1"/>
    <col min="5126" max="5128" width="10" style="126" bestFit="1" customWidth="1"/>
    <col min="5129" max="5129" width="11.42578125" style="126" bestFit="1" customWidth="1"/>
    <col min="5130" max="5131" width="9.140625" style="126"/>
    <col min="5132" max="5132" width="29.5703125" style="126" customWidth="1"/>
    <col min="5133" max="5133" width="10.140625" style="126" bestFit="1" customWidth="1"/>
    <col min="5134" max="5377" width="9.140625" style="126"/>
    <col min="5378" max="5378" width="38.140625" style="126" customWidth="1"/>
    <col min="5379" max="5379" width="11.85546875" style="126" customWidth="1"/>
    <col min="5380" max="5380" width="10.5703125" style="126" customWidth="1"/>
    <col min="5381" max="5381" width="11" style="126" customWidth="1"/>
    <col min="5382" max="5384" width="10" style="126" bestFit="1" customWidth="1"/>
    <col min="5385" max="5385" width="11.42578125" style="126" bestFit="1" customWidth="1"/>
    <col min="5386" max="5387" width="9.140625" style="126"/>
    <col min="5388" max="5388" width="29.5703125" style="126" customWidth="1"/>
    <col min="5389" max="5389" width="10.140625" style="126" bestFit="1" customWidth="1"/>
    <col min="5390" max="5633" width="9.140625" style="126"/>
    <col min="5634" max="5634" width="38.140625" style="126" customWidth="1"/>
    <col min="5635" max="5635" width="11.85546875" style="126" customWidth="1"/>
    <col min="5636" max="5636" width="10.5703125" style="126" customWidth="1"/>
    <col min="5637" max="5637" width="11" style="126" customWidth="1"/>
    <col min="5638" max="5640" width="10" style="126" bestFit="1" customWidth="1"/>
    <col min="5641" max="5641" width="11.42578125" style="126" bestFit="1" customWidth="1"/>
    <col min="5642" max="5643" width="9.140625" style="126"/>
    <col min="5644" max="5644" width="29.5703125" style="126" customWidth="1"/>
    <col min="5645" max="5645" width="10.140625" style="126" bestFit="1" customWidth="1"/>
    <col min="5646" max="5889" width="9.140625" style="126"/>
    <col min="5890" max="5890" width="38.140625" style="126" customWidth="1"/>
    <col min="5891" max="5891" width="11.85546875" style="126" customWidth="1"/>
    <col min="5892" max="5892" width="10.5703125" style="126" customWidth="1"/>
    <col min="5893" max="5893" width="11" style="126" customWidth="1"/>
    <col min="5894" max="5896" width="10" style="126" bestFit="1" customWidth="1"/>
    <col min="5897" max="5897" width="11.42578125" style="126" bestFit="1" customWidth="1"/>
    <col min="5898" max="5899" width="9.140625" style="126"/>
    <col min="5900" max="5900" width="29.5703125" style="126" customWidth="1"/>
    <col min="5901" max="5901" width="10.140625" style="126" bestFit="1" customWidth="1"/>
    <col min="5902" max="6145" width="9.140625" style="126"/>
    <col min="6146" max="6146" width="38.140625" style="126" customWidth="1"/>
    <col min="6147" max="6147" width="11.85546875" style="126" customWidth="1"/>
    <col min="6148" max="6148" width="10.5703125" style="126" customWidth="1"/>
    <col min="6149" max="6149" width="11" style="126" customWidth="1"/>
    <col min="6150" max="6152" width="10" style="126" bestFit="1" customWidth="1"/>
    <col min="6153" max="6153" width="11.42578125" style="126" bestFit="1" customWidth="1"/>
    <col min="6154" max="6155" width="9.140625" style="126"/>
    <col min="6156" max="6156" width="29.5703125" style="126" customWidth="1"/>
    <col min="6157" max="6157" width="10.140625" style="126" bestFit="1" customWidth="1"/>
    <col min="6158" max="6401" width="9.140625" style="126"/>
    <col min="6402" max="6402" width="38.140625" style="126" customWidth="1"/>
    <col min="6403" max="6403" width="11.85546875" style="126" customWidth="1"/>
    <col min="6404" max="6404" width="10.5703125" style="126" customWidth="1"/>
    <col min="6405" max="6405" width="11" style="126" customWidth="1"/>
    <col min="6406" max="6408" width="10" style="126" bestFit="1" customWidth="1"/>
    <col min="6409" max="6409" width="11.42578125" style="126" bestFit="1" customWidth="1"/>
    <col min="6410" max="6411" width="9.140625" style="126"/>
    <col min="6412" max="6412" width="29.5703125" style="126" customWidth="1"/>
    <col min="6413" max="6413" width="10.140625" style="126" bestFit="1" customWidth="1"/>
    <col min="6414" max="6657" width="9.140625" style="126"/>
    <col min="6658" max="6658" width="38.140625" style="126" customWidth="1"/>
    <col min="6659" max="6659" width="11.85546875" style="126" customWidth="1"/>
    <col min="6660" max="6660" width="10.5703125" style="126" customWidth="1"/>
    <col min="6661" max="6661" width="11" style="126" customWidth="1"/>
    <col min="6662" max="6664" width="10" style="126" bestFit="1" customWidth="1"/>
    <col min="6665" max="6665" width="11.42578125" style="126" bestFit="1" customWidth="1"/>
    <col min="6666" max="6667" width="9.140625" style="126"/>
    <col min="6668" max="6668" width="29.5703125" style="126" customWidth="1"/>
    <col min="6669" max="6669" width="10.140625" style="126" bestFit="1" customWidth="1"/>
    <col min="6670" max="6913" width="9.140625" style="126"/>
    <col min="6914" max="6914" width="38.140625" style="126" customWidth="1"/>
    <col min="6915" max="6915" width="11.85546875" style="126" customWidth="1"/>
    <col min="6916" max="6916" width="10.5703125" style="126" customWidth="1"/>
    <col min="6917" max="6917" width="11" style="126" customWidth="1"/>
    <col min="6918" max="6920" width="10" style="126" bestFit="1" customWidth="1"/>
    <col min="6921" max="6921" width="11.42578125" style="126" bestFit="1" customWidth="1"/>
    <col min="6922" max="6923" width="9.140625" style="126"/>
    <col min="6924" max="6924" width="29.5703125" style="126" customWidth="1"/>
    <col min="6925" max="6925" width="10.140625" style="126" bestFit="1" customWidth="1"/>
    <col min="6926" max="7169" width="9.140625" style="126"/>
    <col min="7170" max="7170" width="38.140625" style="126" customWidth="1"/>
    <col min="7171" max="7171" width="11.85546875" style="126" customWidth="1"/>
    <col min="7172" max="7172" width="10.5703125" style="126" customWidth="1"/>
    <col min="7173" max="7173" width="11" style="126" customWidth="1"/>
    <col min="7174" max="7176" width="10" style="126" bestFit="1" customWidth="1"/>
    <col min="7177" max="7177" width="11.42578125" style="126" bestFit="1" customWidth="1"/>
    <col min="7178" max="7179" width="9.140625" style="126"/>
    <col min="7180" max="7180" width="29.5703125" style="126" customWidth="1"/>
    <col min="7181" max="7181" width="10.140625" style="126" bestFit="1" customWidth="1"/>
    <col min="7182" max="7425" width="9.140625" style="126"/>
    <col min="7426" max="7426" width="38.140625" style="126" customWidth="1"/>
    <col min="7427" max="7427" width="11.85546875" style="126" customWidth="1"/>
    <col min="7428" max="7428" width="10.5703125" style="126" customWidth="1"/>
    <col min="7429" max="7429" width="11" style="126" customWidth="1"/>
    <col min="7430" max="7432" width="10" style="126" bestFit="1" customWidth="1"/>
    <col min="7433" max="7433" width="11.42578125" style="126" bestFit="1" customWidth="1"/>
    <col min="7434" max="7435" width="9.140625" style="126"/>
    <col min="7436" max="7436" width="29.5703125" style="126" customWidth="1"/>
    <col min="7437" max="7437" width="10.140625" style="126" bestFit="1" customWidth="1"/>
    <col min="7438" max="7681" width="9.140625" style="126"/>
    <col min="7682" max="7682" width="38.140625" style="126" customWidth="1"/>
    <col min="7683" max="7683" width="11.85546875" style="126" customWidth="1"/>
    <col min="7684" max="7684" width="10.5703125" style="126" customWidth="1"/>
    <col min="7685" max="7685" width="11" style="126" customWidth="1"/>
    <col min="7686" max="7688" width="10" style="126" bestFit="1" customWidth="1"/>
    <col min="7689" max="7689" width="11.42578125" style="126" bestFit="1" customWidth="1"/>
    <col min="7690" max="7691" width="9.140625" style="126"/>
    <col min="7692" max="7692" width="29.5703125" style="126" customWidth="1"/>
    <col min="7693" max="7693" width="10.140625" style="126" bestFit="1" customWidth="1"/>
    <col min="7694" max="7937" width="9.140625" style="126"/>
    <col min="7938" max="7938" width="38.140625" style="126" customWidth="1"/>
    <col min="7939" max="7939" width="11.85546875" style="126" customWidth="1"/>
    <col min="7940" max="7940" width="10.5703125" style="126" customWidth="1"/>
    <col min="7941" max="7941" width="11" style="126" customWidth="1"/>
    <col min="7942" max="7944" width="10" style="126" bestFit="1" customWidth="1"/>
    <col min="7945" max="7945" width="11.42578125" style="126" bestFit="1" customWidth="1"/>
    <col min="7946" max="7947" width="9.140625" style="126"/>
    <col min="7948" max="7948" width="29.5703125" style="126" customWidth="1"/>
    <col min="7949" max="7949" width="10.140625" style="126" bestFit="1" customWidth="1"/>
    <col min="7950" max="8193" width="9.140625" style="126"/>
    <col min="8194" max="8194" width="38.140625" style="126" customWidth="1"/>
    <col min="8195" max="8195" width="11.85546875" style="126" customWidth="1"/>
    <col min="8196" max="8196" width="10.5703125" style="126" customWidth="1"/>
    <col min="8197" max="8197" width="11" style="126" customWidth="1"/>
    <col min="8198" max="8200" width="10" style="126" bestFit="1" customWidth="1"/>
    <col min="8201" max="8201" width="11.42578125" style="126" bestFit="1" customWidth="1"/>
    <col min="8202" max="8203" width="9.140625" style="126"/>
    <col min="8204" max="8204" width="29.5703125" style="126" customWidth="1"/>
    <col min="8205" max="8205" width="10.140625" style="126" bestFit="1" customWidth="1"/>
    <col min="8206" max="8449" width="9.140625" style="126"/>
    <col min="8450" max="8450" width="38.140625" style="126" customWidth="1"/>
    <col min="8451" max="8451" width="11.85546875" style="126" customWidth="1"/>
    <col min="8452" max="8452" width="10.5703125" style="126" customWidth="1"/>
    <col min="8453" max="8453" width="11" style="126" customWidth="1"/>
    <col min="8454" max="8456" width="10" style="126" bestFit="1" customWidth="1"/>
    <col min="8457" max="8457" width="11.42578125" style="126" bestFit="1" customWidth="1"/>
    <col min="8458" max="8459" width="9.140625" style="126"/>
    <col min="8460" max="8460" width="29.5703125" style="126" customWidth="1"/>
    <col min="8461" max="8461" width="10.140625" style="126" bestFit="1" customWidth="1"/>
    <col min="8462" max="8705" width="9.140625" style="126"/>
    <col min="8706" max="8706" width="38.140625" style="126" customWidth="1"/>
    <col min="8707" max="8707" width="11.85546875" style="126" customWidth="1"/>
    <col min="8708" max="8708" width="10.5703125" style="126" customWidth="1"/>
    <col min="8709" max="8709" width="11" style="126" customWidth="1"/>
    <col min="8710" max="8712" width="10" style="126" bestFit="1" customWidth="1"/>
    <col min="8713" max="8713" width="11.42578125" style="126" bestFit="1" customWidth="1"/>
    <col min="8714" max="8715" width="9.140625" style="126"/>
    <col min="8716" max="8716" width="29.5703125" style="126" customWidth="1"/>
    <col min="8717" max="8717" width="10.140625" style="126" bestFit="1" customWidth="1"/>
    <col min="8718" max="8961" width="9.140625" style="126"/>
    <col min="8962" max="8962" width="38.140625" style="126" customWidth="1"/>
    <col min="8963" max="8963" width="11.85546875" style="126" customWidth="1"/>
    <col min="8964" max="8964" width="10.5703125" style="126" customWidth="1"/>
    <col min="8965" max="8965" width="11" style="126" customWidth="1"/>
    <col min="8966" max="8968" width="10" style="126" bestFit="1" customWidth="1"/>
    <col min="8969" max="8969" width="11.42578125" style="126" bestFit="1" customWidth="1"/>
    <col min="8970" max="8971" width="9.140625" style="126"/>
    <col min="8972" max="8972" width="29.5703125" style="126" customWidth="1"/>
    <col min="8973" max="8973" width="10.140625" style="126" bestFit="1" customWidth="1"/>
    <col min="8974" max="9217" width="9.140625" style="126"/>
    <col min="9218" max="9218" width="38.140625" style="126" customWidth="1"/>
    <col min="9219" max="9219" width="11.85546875" style="126" customWidth="1"/>
    <col min="9220" max="9220" width="10.5703125" style="126" customWidth="1"/>
    <col min="9221" max="9221" width="11" style="126" customWidth="1"/>
    <col min="9222" max="9224" width="10" style="126" bestFit="1" customWidth="1"/>
    <col min="9225" max="9225" width="11.42578125" style="126" bestFit="1" customWidth="1"/>
    <col min="9226" max="9227" width="9.140625" style="126"/>
    <col min="9228" max="9228" width="29.5703125" style="126" customWidth="1"/>
    <col min="9229" max="9229" width="10.140625" style="126" bestFit="1" customWidth="1"/>
    <col min="9230" max="9473" width="9.140625" style="126"/>
    <col min="9474" max="9474" width="38.140625" style="126" customWidth="1"/>
    <col min="9475" max="9475" width="11.85546875" style="126" customWidth="1"/>
    <col min="9476" max="9476" width="10.5703125" style="126" customWidth="1"/>
    <col min="9477" max="9477" width="11" style="126" customWidth="1"/>
    <col min="9478" max="9480" width="10" style="126" bestFit="1" customWidth="1"/>
    <col min="9481" max="9481" width="11.42578125" style="126" bestFit="1" customWidth="1"/>
    <col min="9482" max="9483" width="9.140625" style="126"/>
    <col min="9484" max="9484" width="29.5703125" style="126" customWidth="1"/>
    <col min="9485" max="9485" width="10.140625" style="126" bestFit="1" customWidth="1"/>
    <col min="9486" max="9729" width="9.140625" style="126"/>
    <col min="9730" max="9730" width="38.140625" style="126" customWidth="1"/>
    <col min="9731" max="9731" width="11.85546875" style="126" customWidth="1"/>
    <col min="9732" max="9732" width="10.5703125" style="126" customWidth="1"/>
    <col min="9733" max="9733" width="11" style="126" customWidth="1"/>
    <col min="9734" max="9736" width="10" style="126" bestFit="1" customWidth="1"/>
    <col min="9737" max="9737" width="11.42578125" style="126" bestFit="1" customWidth="1"/>
    <col min="9738" max="9739" width="9.140625" style="126"/>
    <col min="9740" max="9740" width="29.5703125" style="126" customWidth="1"/>
    <col min="9741" max="9741" width="10.140625" style="126" bestFit="1" customWidth="1"/>
    <col min="9742" max="9985" width="9.140625" style="126"/>
    <col min="9986" max="9986" width="38.140625" style="126" customWidth="1"/>
    <col min="9987" max="9987" width="11.85546875" style="126" customWidth="1"/>
    <col min="9988" max="9988" width="10.5703125" style="126" customWidth="1"/>
    <col min="9989" max="9989" width="11" style="126" customWidth="1"/>
    <col min="9990" max="9992" width="10" style="126" bestFit="1" customWidth="1"/>
    <col min="9993" max="9993" width="11.42578125" style="126" bestFit="1" customWidth="1"/>
    <col min="9994" max="9995" width="9.140625" style="126"/>
    <col min="9996" max="9996" width="29.5703125" style="126" customWidth="1"/>
    <col min="9997" max="9997" width="10.140625" style="126" bestFit="1" customWidth="1"/>
    <col min="9998" max="10241" width="9.140625" style="126"/>
    <col min="10242" max="10242" width="38.140625" style="126" customWidth="1"/>
    <col min="10243" max="10243" width="11.85546875" style="126" customWidth="1"/>
    <col min="10244" max="10244" width="10.5703125" style="126" customWidth="1"/>
    <col min="10245" max="10245" width="11" style="126" customWidth="1"/>
    <col min="10246" max="10248" width="10" style="126" bestFit="1" customWidth="1"/>
    <col min="10249" max="10249" width="11.42578125" style="126" bestFit="1" customWidth="1"/>
    <col min="10250" max="10251" width="9.140625" style="126"/>
    <col min="10252" max="10252" width="29.5703125" style="126" customWidth="1"/>
    <col min="10253" max="10253" width="10.140625" style="126" bestFit="1" customWidth="1"/>
    <col min="10254" max="10497" width="9.140625" style="126"/>
    <col min="10498" max="10498" width="38.140625" style="126" customWidth="1"/>
    <col min="10499" max="10499" width="11.85546875" style="126" customWidth="1"/>
    <col min="10500" max="10500" width="10.5703125" style="126" customWidth="1"/>
    <col min="10501" max="10501" width="11" style="126" customWidth="1"/>
    <col min="10502" max="10504" width="10" style="126" bestFit="1" customWidth="1"/>
    <col min="10505" max="10505" width="11.42578125" style="126" bestFit="1" customWidth="1"/>
    <col min="10506" max="10507" width="9.140625" style="126"/>
    <col min="10508" max="10508" width="29.5703125" style="126" customWidth="1"/>
    <col min="10509" max="10509" width="10.140625" style="126" bestFit="1" customWidth="1"/>
    <col min="10510" max="10753" width="9.140625" style="126"/>
    <col min="10754" max="10754" width="38.140625" style="126" customWidth="1"/>
    <col min="10755" max="10755" width="11.85546875" style="126" customWidth="1"/>
    <col min="10756" max="10756" width="10.5703125" style="126" customWidth="1"/>
    <col min="10757" max="10757" width="11" style="126" customWidth="1"/>
    <col min="10758" max="10760" width="10" style="126" bestFit="1" customWidth="1"/>
    <col min="10761" max="10761" width="11.42578125" style="126" bestFit="1" customWidth="1"/>
    <col min="10762" max="10763" width="9.140625" style="126"/>
    <col min="10764" max="10764" width="29.5703125" style="126" customWidth="1"/>
    <col min="10765" max="10765" width="10.140625" style="126" bestFit="1" customWidth="1"/>
    <col min="10766" max="11009" width="9.140625" style="126"/>
    <col min="11010" max="11010" width="38.140625" style="126" customWidth="1"/>
    <col min="11011" max="11011" width="11.85546875" style="126" customWidth="1"/>
    <col min="11012" max="11012" width="10.5703125" style="126" customWidth="1"/>
    <col min="11013" max="11013" width="11" style="126" customWidth="1"/>
    <col min="11014" max="11016" width="10" style="126" bestFit="1" customWidth="1"/>
    <col min="11017" max="11017" width="11.42578125" style="126" bestFit="1" customWidth="1"/>
    <col min="11018" max="11019" width="9.140625" style="126"/>
    <col min="11020" max="11020" width="29.5703125" style="126" customWidth="1"/>
    <col min="11021" max="11021" width="10.140625" style="126" bestFit="1" customWidth="1"/>
    <col min="11022" max="11265" width="9.140625" style="126"/>
    <col min="11266" max="11266" width="38.140625" style="126" customWidth="1"/>
    <col min="11267" max="11267" width="11.85546875" style="126" customWidth="1"/>
    <col min="11268" max="11268" width="10.5703125" style="126" customWidth="1"/>
    <col min="11269" max="11269" width="11" style="126" customWidth="1"/>
    <col min="11270" max="11272" width="10" style="126" bestFit="1" customWidth="1"/>
    <col min="11273" max="11273" width="11.42578125" style="126" bestFit="1" customWidth="1"/>
    <col min="11274" max="11275" width="9.140625" style="126"/>
    <col min="11276" max="11276" width="29.5703125" style="126" customWidth="1"/>
    <col min="11277" max="11277" width="10.140625" style="126" bestFit="1" customWidth="1"/>
    <col min="11278" max="11521" width="9.140625" style="126"/>
    <col min="11522" max="11522" width="38.140625" style="126" customWidth="1"/>
    <col min="11523" max="11523" width="11.85546875" style="126" customWidth="1"/>
    <col min="11524" max="11524" width="10.5703125" style="126" customWidth="1"/>
    <col min="11525" max="11525" width="11" style="126" customWidth="1"/>
    <col min="11526" max="11528" width="10" style="126" bestFit="1" customWidth="1"/>
    <col min="11529" max="11529" width="11.42578125" style="126" bestFit="1" customWidth="1"/>
    <col min="11530" max="11531" width="9.140625" style="126"/>
    <col min="11532" max="11532" width="29.5703125" style="126" customWidth="1"/>
    <col min="11533" max="11533" width="10.140625" style="126" bestFit="1" customWidth="1"/>
    <col min="11534" max="11777" width="9.140625" style="126"/>
    <col min="11778" max="11778" width="38.140625" style="126" customWidth="1"/>
    <col min="11779" max="11779" width="11.85546875" style="126" customWidth="1"/>
    <col min="11780" max="11780" width="10.5703125" style="126" customWidth="1"/>
    <col min="11781" max="11781" width="11" style="126" customWidth="1"/>
    <col min="11782" max="11784" width="10" style="126" bestFit="1" customWidth="1"/>
    <col min="11785" max="11785" width="11.42578125" style="126" bestFit="1" customWidth="1"/>
    <col min="11786" max="11787" width="9.140625" style="126"/>
    <col min="11788" max="11788" width="29.5703125" style="126" customWidth="1"/>
    <col min="11789" max="11789" width="10.140625" style="126" bestFit="1" customWidth="1"/>
    <col min="11790" max="12033" width="9.140625" style="126"/>
    <col min="12034" max="12034" width="38.140625" style="126" customWidth="1"/>
    <col min="12035" max="12035" width="11.85546875" style="126" customWidth="1"/>
    <col min="12036" max="12036" width="10.5703125" style="126" customWidth="1"/>
    <col min="12037" max="12037" width="11" style="126" customWidth="1"/>
    <col min="12038" max="12040" width="10" style="126" bestFit="1" customWidth="1"/>
    <col min="12041" max="12041" width="11.42578125" style="126" bestFit="1" customWidth="1"/>
    <col min="12042" max="12043" width="9.140625" style="126"/>
    <col min="12044" max="12044" width="29.5703125" style="126" customWidth="1"/>
    <col min="12045" max="12045" width="10.140625" style="126" bestFit="1" customWidth="1"/>
    <col min="12046" max="12289" width="9.140625" style="126"/>
    <col min="12290" max="12290" width="38.140625" style="126" customWidth="1"/>
    <col min="12291" max="12291" width="11.85546875" style="126" customWidth="1"/>
    <col min="12292" max="12292" width="10.5703125" style="126" customWidth="1"/>
    <col min="12293" max="12293" width="11" style="126" customWidth="1"/>
    <col min="12294" max="12296" width="10" style="126" bestFit="1" customWidth="1"/>
    <col min="12297" max="12297" width="11.42578125" style="126" bestFit="1" customWidth="1"/>
    <col min="12298" max="12299" width="9.140625" style="126"/>
    <col min="12300" max="12300" width="29.5703125" style="126" customWidth="1"/>
    <col min="12301" max="12301" width="10.140625" style="126" bestFit="1" customWidth="1"/>
    <col min="12302" max="12545" width="9.140625" style="126"/>
    <col min="12546" max="12546" width="38.140625" style="126" customWidth="1"/>
    <col min="12547" max="12547" width="11.85546875" style="126" customWidth="1"/>
    <col min="12548" max="12548" width="10.5703125" style="126" customWidth="1"/>
    <col min="12549" max="12549" width="11" style="126" customWidth="1"/>
    <col min="12550" max="12552" width="10" style="126" bestFit="1" customWidth="1"/>
    <col min="12553" max="12553" width="11.42578125" style="126" bestFit="1" customWidth="1"/>
    <col min="12554" max="12555" width="9.140625" style="126"/>
    <col min="12556" max="12556" width="29.5703125" style="126" customWidth="1"/>
    <col min="12557" max="12557" width="10.140625" style="126" bestFit="1" customWidth="1"/>
    <col min="12558" max="12801" width="9.140625" style="126"/>
    <col min="12802" max="12802" width="38.140625" style="126" customWidth="1"/>
    <col min="12803" max="12803" width="11.85546875" style="126" customWidth="1"/>
    <col min="12804" max="12804" width="10.5703125" style="126" customWidth="1"/>
    <col min="12805" max="12805" width="11" style="126" customWidth="1"/>
    <col min="12806" max="12808" width="10" style="126" bestFit="1" customWidth="1"/>
    <col min="12809" max="12809" width="11.42578125" style="126" bestFit="1" customWidth="1"/>
    <col min="12810" max="12811" width="9.140625" style="126"/>
    <col min="12812" max="12812" width="29.5703125" style="126" customWidth="1"/>
    <col min="12813" max="12813" width="10.140625" style="126" bestFit="1" customWidth="1"/>
    <col min="12814" max="13057" width="9.140625" style="126"/>
    <col min="13058" max="13058" width="38.140625" style="126" customWidth="1"/>
    <col min="13059" max="13059" width="11.85546875" style="126" customWidth="1"/>
    <col min="13060" max="13060" width="10.5703125" style="126" customWidth="1"/>
    <col min="13061" max="13061" width="11" style="126" customWidth="1"/>
    <col min="13062" max="13064" width="10" style="126" bestFit="1" customWidth="1"/>
    <col min="13065" max="13065" width="11.42578125" style="126" bestFit="1" customWidth="1"/>
    <col min="13066" max="13067" width="9.140625" style="126"/>
    <col min="13068" max="13068" width="29.5703125" style="126" customWidth="1"/>
    <col min="13069" max="13069" width="10.140625" style="126" bestFit="1" customWidth="1"/>
    <col min="13070" max="13313" width="9.140625" style="126"/>
    <col min="13314" max="13314" width="38.140625" style="126" customWidth="1"/>
    <col min="13315" max="13315" width="11.85546875" style="126" customWidth="1"/>
    <col min="13316" max="13316" width="10.5703125" style="126" customWidth="1"/>
    <col min="13317" max="13317" width="11" style="126" customWidth="1"/>
    <col min="13318" max="13320" width="10" style="126" bestFit="1" customWidth="1"/>
    <col min="13321" max="13321" width="11.42578125" style="126" bestFit="1" customWidth="1"/>
    <col min="13322" max="13323" width="9.140625" style="126"/>
    <col min="13324" max="13324" width="29.5703125" style="126" customWidth="1"/>
    <col min="13325" max="13325" width="10.140625" style="126" bestFit="1" customWidth="1"/>
    <col min="13326" max="13569" width="9.140625" style="126"/>
    <col min="13570" max="13570" width="38.140625" style="126" customWidth="1"/>
    <col min="13571" max="13571" width="11.85546875" style="126" customWidth="1"/>
    <col min="13572" max="13572" width="10.5703125" style="126" customWidth="1"/>
    <col min="13573" max="13573" width="11" style="126" customWidth="1"/>
    <col min="13574" max="13576" width="10" style="126" bestFit="1" customWidth="1"/>
    <col min="13577" max="13577" width="11.42578125" style="126" bestFit="1" customWidth="1"/>
    <col min="13578" max="13579" width="9.140625" style="126"/>
    <col min="13580" max="13580" width="29.5703125" style="126" customWidth="1"/>
    <col min="13581" max="13581" width="10.140625" style="126" bestFit="1" customWidth="1"/>
    <col min="13582" max="13825" width="9.140625" style="126"/>
    <col min="13826" max="13826" width="38.140625" style="126" customWidth="1"/>
    <col min="13827" max="13827" width="11.85546875" style="126" customWidth="1"/>
    <col min="13828" max="13828" width="10.5703125" style="126" customWidth="1"/>
    <col min="13829" max="13829" width="11" style="126" customWidth="1"/>
    <col min="13830" max="13832" width="10" style="126" bestFit="1" customWidth="1"/>
    <col min="13833" max="13833" width="11.42578125" style="126" bestFit="1" customWidth="1"/>
    <col min="13834" max="13835" width="9.140625" style="126"/>
    <col min="13836" max="13836" width="29.5703125" style="126" customWidth="1"/>
    <col min="13837" max="13837" width="10.140625" style="126" bestFit="1" customWidth="1"/>
    <col min="13838" max="14081" width="9.140625" style="126"/>
    <col min="14082" max="14082" width="38.140625" style="126" customWidth="1"/>
    <col min="14083" max="14083" width="11.85546875" style="126" customWidth="1"/>
    <col min="14084" max="14084" width="10.5703125" style="126" customWidth="1"/>
    <col min="14085" max="14085" width="11" style="126" customWidth="1"/>
    <col min="14086" max="14088" width="10" style="126" bestFit="1" customWidth="1"/>
    <col min="14089" max="14089" width="11.42578125" style="126" bestFit="1" customWidth="1"/>
    <col min="14090" max="14091" width="9.140625" style="126"/>
    <col min="14092" max="14092" width="29.5703125" style="126" customWidth="1"/>
    <col min="14093" max="14093" width="10.140625" style="126" bestFit="1" customWidth="1"/>
    <col min="14094" max="14337" width="9.140625" style="126"/>
    <col min="14338" max="14338" width="38.140625" style="126" customWidth="1"/>
    <col min="14339" max="14339" width="11.85546875" style="126" customWidth="1"/>
    <col min="14340" max="14340" width="10.5703125" style="126" customWidth="1"/>
    <col min="14341" max="14341" width="11" style="126" customWidth="1"/>
    <col min="14342" max="14344" width="10" style="126" bestFit="1" customWidth="1"/>
    <col min="14345" max="14345" width="11.42578125" style="126" bestFit="1" customWidth="1"/>
    <col min="14346" max="14347" width="9.140625" style="126"/>
    <col min="14348" max="14348" width="29.5703125" style="126" customWidth="1"/>
    <col min="14349" max="14349" width="10.140625" style="126" bestFit="1" customWidth="1"/>
    <col min="14350" max="14593" width="9.140625" style="126"/>
    <col min="14594" max="14594" width="38.140625" style="126" customWidth="1"/>
    <col min="14595" max="14595" width="11.85546875" style="126" customWidth="1"/>
    <col min="14596" max="14596" width="10.5703125" style="126" customWidth="1"/>
    <col min="14597" max="14597" width="11" style="126" customWidth="1"/>
    <col min="14598" max="14600" width="10" style="126" bestFit="1" customWidth="1"/>
    <col min="14601" max="14601" width="11.42578125" style="126" bestFit="1" customWidth="1"/>
    <col min="14602" max="14603" width="9.140625" style="126"/>
    <col min="14604" max="14604" width="29.5703125" style="126" customWidth="1"/>
    <col min="14605" max="14605" width="10.140625" style="126" bestFit="1" customWidth="1"/>
    <col min="14606" max="14849" width="9.140625" style="126"/>
    <col min="14850" max="14850" width="38.140625" style="126" customWidth="1"/>
    <col min="14851" max="14851" width="11.85546875" style="126" customWidth="1"/>
    <col min="14852" max="14852" width="10.5703125" style="126" customWidth="1"/>
    <col min="14853" max="14853" width="11" style="126" customWidth="1"/>
    <col min="14854" max="14856" width="10" style="126" bestFit="1" customWidth="1"/>
    <col min="14857" max="14857" width="11.42578125" style="126" bestFit="1" customWidth="1"/>
    <col min="14858" max="14859" width="9.140625" style="126"/>
    <col min="14860" max="14860" width="29.5703125" style="126" customWidth="1"/>
    <col min="14861" max="14861" width="10.140625" style="126" bestFit="1" customWidth="1"/>
    <col min="14862" max="15105" width="9.140625" style="126"/>
    <col min="15106" max="15106" width="38.140625" style="126" customWidth="1"/>
    <col min="15107" max="15107" width="11.85546875" style="126" customWidth="1"/>
    <col min="15108" max="15108" width="10.5703125" style="126" customWidth="1"/>
    <col min="15109" max="15109" width="11" style="126" customWidth="1"/>
    <col min="15110" max="15112" width="10" style="126" bestFit="1" customWidth="1"/>
    <col min="15113" max="15113" width="11.42578125" style="126" bestFit="1" customWidth="1"/>
    <col min="15114" max="15115" width="9.140625" style="126"/>
    <col min="15116" max="15116" width="29.5703125" style="126" customWidth="1"/>
    <col min="15117" max="15117" width="10.140625" style="126" bestFit="1" customWidth="1"/>
    <col min="15118" max="15361" width="9.140625" style="126"/>
    <col min="15362" max="15362" width="38.140625" style="126" customWidth="1"/>
    <col min="15363" max="15363" width="11.85546875" style="126" customWidth="1"/>
    <col min="15364" max="15364" width="10.5703125" style="126" customWidth="1"/>
    <col min="15365" max="15365" width="11" style="126" customWidth="1"/>
    <col min="15366" max="15368" width="10" style="126" bestFit="1" customWidth="1"/>
    <col min="15369" max="15369" width="11.42578125" style="126" bestFit="1" customWidth="1"/>
    <col min="15370" max="15371" width="9.140625" style="126"/>
    <col min="15372" max="15372" width="29.5703125" style="126" customWidth="1"/>
    <col min="15373" max="15373" width="10.140625" style="126" bestFit="1" customWidth="1"/>
    <col min="15374" max="15617" width="9.140625" style="126"/>
    <col min="15618" max="15618" width="38.140625" style="126" customWidth="1"/>
    <col min="15619" max="15619" width="11.85546875" style="126" customWidth="1"/>
    <col min="15620" max="15620" width="10.5703125" style="126" customWidth="1"/>
    <col min="15621" max="15621" width="11" style="126" customWidth="1"/>
    <col min="15622" max="15624" width="10" style="126" bestFit="1" customWidth="1"/>
    <col min="15625" max="15625" width="11.42578125" style="126" bestFit="1" customWidth="1"/>
    <col min="15626" max="15627" width="9.140625" style="126"/>
    <col min="15628" max="15628" width="29.5703125" style="126" customWidth="1"/>
    <col min="15629" max="15629" width="10.140625" style="126" bestFit="1" customWidth="1"/>
    <col min="15630" max="15873" width="9.140625" style="126"/>
    <col min="15874" max="15874" width="38.140625" style="126" customWidth="1"/>
    <col min="15875" max="15875" width="11.85546875" style="126" customWidth="1"/>
    <col min="15876" max="15876" width="10.5703125" style="126" customWidth="1"/>
    <col min="15877" max="15877" width="11" style="126" customWidth="1"/>
    <col min="15878" max="15880" width="10" style="126" bestFit="1" customWidth="1"/>
    <col min="15881" max="15881" width="11.42578125" style="126" bestFit="1" customWidth="1"/>
    <col min="15882" max="15883" width="9.140625" style="126"/>
    <col min="15884" max="15884" width="29.5703125" style="126" customWidth="1"/>
    <col min="15885" max="15885" width="10.140625" style="126" bestFit="1" customWidth="1"/>
    <col min="15886" max="16129" width="9.140625" style="126"/>
    <col min="16130" max="16130" width="38.140625" style="126" customWidth="1"/>
    <col min="16131" max="16131" width="11.85546875" style="126" customWidth="1"/>
    <col min="16132" max="16132" width="10.5703125" style="126" customWidth="1"/>
    <col min="16133" max="16133" width="11" style="126" customWidth="1"/>
    <col min="16134" max="16136" width="10" style="126" bestFit="1" customWidth="1"/>
    <col min="16137" max="16137" width="11.42578125" style="126" bestFit="1" customWidth="1"/>
    <col min="16138" max="16139" width="9.140625" style="126"/>
    <col min="16140" max="16140" width="29.5703125" style="126" customWidth="1"/>
    <col min="16141" max="16141" width="10.140625" style="126" bestFit="1" customWidth="1"/>
    <col min="16142" max="16384" width="9.140625" style="126"/>
  </cols>
  <sheetData>
    <row r="1" spans="1:18" x14ac:dyDescent="0.25">
      <c r="A1" s="125"/>
      <c r="I1" s="128" t="s">
        <v>59</v>
      </c>
      <c r="J1" s="125"/>
      <c r="K1" s="125"/>
    </row>
    <row r="2" spans="1:18" ht="33" customHeight="1" x14ac:dyDescent="0.25">
      <c r="A2" s="331" t="s">
        <v>572</v>
      </c>
      <c r="B2" s="331"/>
      <c r="C2" s="331"/>
      <c r="D2" s="331"/>
      <c r="E2" s="331"/>
      <c r="F2" s="331"/>
      <c r="G2" s="331"/>
      <c r="H2" s="331"/>
      <c r="I2" s="331"/>
      <c r="J2" s="331"/>
      <c r="K2" s="331"/>
    </row>
    <row r="3" spans="1:18" ht="15.75" customHeight="1" x14ac:dyDescent="0.25">
      <c r="A3" s="332" t="s">
        <v>551</v>
      </c>
      <c r="B3" s="332"/>
      <c r="C3" s="332"/>
      <c r="D3" s="332"/>
      <c r="E3" s="332"/>
      <c r="F3" s="332"/>
      <c r="G3" s="332"/>
      <c r="H3" s="332"/>
      <c r="I3" s="332"/>
      <c r="J3" s="332"/>
      <c r="K3" s="332"/>
    </row>
    <row r="4" spans="1:18" x14ac:dyDescent="0.25">
      <c r="B4" s="196"/>
      <c r="C4" s="127"/>
      <c r="F4" s="127"/>
      <c r="J4" s="333" t="s">
        <v>252</v>
      </c>
      <c r="K4" s="333"/>
    </row>
    <row r="5" spans="1:18" x14ac:dyDescent="0.25">
      <c r="A5" s="334" t="s">
        <v>2</v>
      </c>
      <c r="B5" s="334" t="s">
        <v>546</v>
      </c>
      <c r="C5" s="334" t="s">
        <v>150</v>
      </c>
      <c r="D5" s="334" t="s">
        <v>197</v>
      </c>
      <c r="E5" s="334"/>
      <c r="F5" s="334" t="s">
        <v>108</v>
      </c>
      <c r="G5" s="334" t="s">
        <v>197</v>
      </c>
      <c r="H5" s="334"/>
      <c r="I5" s="334" t="s">
        <v>109</v>
      </c>
      <c r="J5" s="334"/>
      <c r="K5" s="334"/>
    </row>
    <row r="6" spans="1:18" ht="52.9" customHeight="1" x14ac:dyDescent="0.25">
      <c r="A6" s="334"/>
      <c r="B6" s="334"/>
      <c r="C6" s="334"/>
      <c r="D6" s="68" t="s">
        <v>386</v>
      </c>
      <c r="E6" s="68" t="s">
        <v>387</v>
      </c>
      <c r="F6" s="334"/>
      <c r="G6" s="68" t="s">
        <v>386</v>
      </c>
      <c r="H6" s="68" t="s">
        <v>387</v>
      </c>
      <c r="I6" s="68" t="s">
        <v>200</v>
      </c>
      <c r="J6" s="68" t="s">
        <v>198</v>
      </c>
      <c r="K6" s="68" t="s">
        <v>199</v>
      </c>
    </row>
    <row r="7" spans="1:18" x14ac:dyDescent="0.25">
      <c r="A7" s="129" t="s">
        <v>7</v>
      </c>
      <c r="B7" s="129" t="s">
        <v>8</v>
      </c>
      <c r="C7" s="129" t="s">
        <v>60</v>
      </c>
      <c r="D7" s="129">
        <v>2</v>
      </c>
      <c r="E7" s="129">
        <v>3</v>
      </c>
      <c r="F7" s="129" t="s">
        <v>61</v>
      </c>
      <c r="G7" s="129">
        <v>5</v>
      </c>
      <c r="H7" s="129">
        <v>6</v>
      </c>
      <c r="I7" s="129" t="s">
        <v>62</v>
      </c>
      <c r="J7" s="129" t="s">
        <v>63</v>
      </c>
      <c r="K7" s="129" t="s">
        <v>64</v>
      </c>
      <c r="L7" s="198"/>
      <c r="M7" s="198"/>
      <c r="N7" s="198"/>
      <c r="O7" s="198"/>
      <c r="P7" s="198"/>
      <c r="Q7" s="198"/>
    </row>
    <row r="8" spans="1:18" ht="19.149999999999999" customHeight="1" x14ac:dyDescent="0.25">
      <c r="A8" s="223"/>
      <c r="B8" s="224" t="s">
        <v>20</v>
      </c>
      <c r="C8" s="271">
        <v>8597048</v>
      </c>
      <c r="D8" s="271">
        <v>4639439</v>
      </c>
      <c r="E8" s="271">
        <v>3957609</v>
      </c>
      <c r="F8" s="271">
        <v>12005744.061772998</v>
      </c>
      <c r="G8" s="271">
        <v>5884741.7829250004</v>
      </c>
      <c r="H8" s="271">
        <v>6121002.278847998</v>
      </c>
      <c r="I8" s="225">
        <f t="shared" ref="I8:K23" si="0">IF(C8=0,0,F8/C8*100)</f>
        <v>139.64961067767678</v>
      </c>
      <c r="J8" s="225">
        <f t="shared" si="0"/>
        <v>126.84166734221532</v>
      </c>
      <c r="K8" s="225">
        <f t="shared" si="0"/>
        <v>154.66414895579624</v>
      </c>
      <c r="L8" s="197"/>
      <c r="M8" s="197"/>
      <c r="N8" s="197"/>
      <c r="O8" s="197"/>
      <c r="P8" s="197"/>
      <c r="Q8" s="197"/>
      <c r="R8" s="127"/>
    </row>
    <row r="9" spans="1:18" ht="47.25" x14ac:dyDescent="0.25">
      <c r="A9" s="100" t="s">
        <v>7</v>
      </c>
      <c r="B9" s="101" t="s">
        <v>240</v>
      </c>
      <c r="C9" s="272">
        <v>7150317</v>
      </c>
      <c r="D9" s="240">
        <v>3194008</v>
      </c>
      <c r="E9" s="240">
        <v>3956309</v>
      </c>
      <c r="F9" s="240">
        <v>6539335.7344669998</v>
      </c>
      <c r="G9" s="240">
        <v>2503222.5879770005</v>
      </c>
      <c r="H9" s="240">
        <v>4036112.9464899991</v>
      </c>
      <c r="I9" s="77">
        <f t="shared" si="0"/>
        <v>91.455186315054277</v>
      </c>
      <c r="J9" s="77">
        <f t="shared" si="0"/>
        <v>78.372458302452614</v>
      </c>
      <c r="K9" s="77">
        <f t="shared" si="0"/>
        <v>102.01713128297105</v>
      </c>
      <c r="L9" s="197"/>
      <c r="M9" s="197"/>
      <c r="N9" s="197"/>
      <c r="O9" s="197"/>
      <c r="P9" s="197"/>
      <c r="Q9" s="197"/>
    </row>
    <row r="10" spans="1:18" ht="15.75" x14ac:dyDescent="0.25">
      <c r="A10" s="100" t="s">
        <v>241</v>
      </c>
      <c r="B10" s="101" t="s">
        <v>65</v>
      </c>
      <c r="C10" s="272">
        <v>7101917</v>
      </c>
      <c r="D10" s="240">
        <v>3145608</v>
      </c>
      <c r="E10" s="240">
        <v>3956309</v>
      </c>
      <c r="F10" s="240">
        <v>6516398.7363989996</v>
      </c>
      <c r="G10" s="240">
        <v>2480285.5899090003</v>
      </c>
      <c r="H10" s="240">
        <v>4036112.9464899991</v>
      </c>
      <c r="I10" s="77">
        <f t="shared" si="0"/>
        <v>91.755489910667777</v>
      </c>
      <c r="J10" s="77">
        <f t="shared" si="0"/>
        <v>78.849163338502464</v>
      </c>
      <c r="K10" s="77">
        <f t="shared" si="0"/>
        <v>102.01713128297105</v>
      </c>
      <c r="L10" s="197"/>
      <c r="M10" s="197"/>
      <c r="N10" s="197"/>
      <c r="O10" s="197"/>
      <c r="P10" s="197"/>
      <c r="Q10" s="197"/>
    </row>
    <row r="11" spans="1:18" ht="15.75" x14ac:dyDescent="0.25">
      <c r="A11" s="100" t="s">
        <v>39</v>
      </c>
      <c r="B11" s="101" t="s">
        <v>21</v>
      </c>
      <c r="C11" s="272">
        <v>808020</v>
      </c>
      <c r="D11" s="272">
        <v>322529</v>
      </c>
      <c r="E11" s="272">
        <v>485491</v>
      </c>
      <c r="F11" s="240">
        <v>1127172.75397</v>
      </c>
      <c r="G11" s="273">
        <v>378390.36010699999</v>
      </c>
      <c r="H11" s="273">
        <v>748782.39386299998</v>
      </c>
      <c r="I11" s="77">
        <f t="shared" si="0"/>
        <v>139.49812553773421</v>
      </c>
      <c r="J11" s="77">
        <f t="shared" si="0"/>
        <v>117.31979453227461</v>
      </c>
      <c r="K11" s="77">
        <f t="shared" si="0"/>
        <v>154.23198243901535</v>
      </c>
      <c r="L11" s="197"/>
      <c r="M11" s="197"/>
      <c r="N11" s="197"/>
      <c r="O11" s="197"/>
      <c r="P11" s="197"/>
      <c r="Q11" s="197"/>
    </row>
    <row r="12" spans="1:18" ht="15.75" x14ac:dyDescent="0.25">
      <c r="A12" s="150">
        <v>1</v>
      </c>
      <c r="B12" s="36" t="s">
        <v>433</v>
      </c>
      <c r="C12" s="274">
        <v>808020</v>
      </c>
      <c r="D12" s="275">
        <v>322529</v>
      </c>
      <c r="E12" s="275">
        <v>485491</v>
      </c>
      <c r="F12" s="276">
        <v>1109270.75397</v>
      </c>
      <c r="G12" s="89">
        <v>360488.36010699999</v>
      </c>
      <c r="H12" s="89">
        <v>748782.39386299998</v>
      </c>
      <c r="I12" s="84">
        <f t="shared" si="0"/>
        <v>137.28258631840794</v>
      </c>
      <c r="J12" s="84">
        <f t="shared" si="0"/>
        <v>111.76928589584192</v>
      </c>
      <c r="K12" s="84">
        <f t="shared" si="0"/>
        <v>154.23198243901535</v>
      </c>
      <c r="L12" s="197"/>
      <c r="M12" s="197"/>
      <c r="N12" s="197"/>
      <c r="O12" s="197"/>
      <c r="P12" s="197"/>
      <c r="Q12" s="197"/>
    </row>
    <row r="13" spans="1:18" s="185" customFormat="1" ht="15.75" x14ac:dyDescent="0.25">
      <c r="A13" s="277"/>
      <c r="B13" s="278" t="s">
        <v>434</v>
      </c>
      <c r="C13" s="279">
        <v>0</v>
      </c>
      <c r="D13" s="280"/>
      <c r="E13" s="280"/>
      <c r="F13" s="277"/>
      <c r="G13" s="281"/>
      <c r="H13" s="281"/>
      <c r="I13" s="282">
        <f t="shared" si="0"/>
        <v>0</v>
      </c>
      <c r="J13" s="282">
        <f t="shared" si="0"/>
        <v>0</v>
      </c>
      <c r="K13" s="282">
        <f t="shared" si="0"/>
        <v>0</v>
      </c>
      <c r="L13" s="197"/>
      <c r="M13" s="197"/>
      <c r="N13" s="197"/>
      <c r="O13" s="197"/>
      <c r="P13" s="197"/>
      <c r="Q13" s="197"/>
    </row>
    <row r="14" spans="1:18" s="185" customFormat="1" ht="15.75" x14ac:dyDescent="0.25">
      <c r="A14" s="277" t="s">
        <v>12</v>
      </c>
      <c r="B14" s="278" t="s">
        <v>67</v>
      </c>
      <c r="C14" s="279">
        <v>85378.572</v>
      </c>
      <c r="D14" s="280">
        <v>5367.5720000000001</v>
      </c>
      <c r="E14" s="280">
        <v>80011</v>
      </c>
      <c r="F14" s="283">
        <v>212080.246442</v>
      </c>
      <c r="G14" s="281">
        <v>38875</v>
      </c>
      <c r="H14" s="281">
        <v>173205.246442</v>
      </c>
      <c r="I14" s="282">
        <f t="shared" si="0"/>
        <v>248.39985194645794</v>
      </c>
      <c r="J14" s="282">
        <f t="shared" si="0"/>
        <v>724.25670303071854</v>
      </c>
      <c r="K14" s="282">
        <f t="shared" si="0"/>
        <v>216.47679249353214</v>
      </c>
      <c r="L14" s="197"/>
      <c r="M14" s="197"/>
      <c r="N14" s="197"/>
      <c r="O14" s="197"/>
      <c r="P14" s="197"/>
      <c r="Q14" s="197"/>
    </row>
    <row r="15" spans="1:18" s="185" customFormat="1" ht="15.75" x14ac:dyDescent="0.25">
      <c r="A15" s="277" t="s">
        <v>12</v>
      </c>
      <c r="B15" s="278" t="s">
        <v>435</v>
      </c>
      <c r="C15" s="279">
        <v>12900</v>
      </c>
      <c r="D15" s="280">
        <v>12900</v>
      </c>
      <c r="E15" s="280">
        <v>0</v>
      </c>
      <c r="F15" s="283">
        <v>19547.661734000001</v>
      </c>
      <c r="G15" s="281">
        <v>19548</v>
      </c>
      <c r="H15" s="281">
        <v>-0.33826599999883911</v>
      </c>
      <c r="I15" s="282">
        <f t="shared" si="0"/>
        <v>151.53226150387599</v>
      </c>
      <c r="J15" s="282">
        <f t="shared" si="0"/>
        <v>151.53488372093022</v>
      </c>
      <c r="K15" s="282">
        <f t="shared" si="0"/>
        <v>0</v>
      </c>
      <c r="L15" s="197"/>
      <c r="M15" s="197"/>
      <c r="N15" s="197"/>
      <c r="O15" s="197"/>
      <c r="P15" s="197"/>
      <c r="Q15" s="197"/>
    </row>
    <row r="16" spans="1:18" s="185" customFormat="1" ht="15.75" x14ac:dyDescent="0.25">
      <c r="A16" s="277"/>
      <c r="B16" s="278" t="s">
        <v>201</v>
      </c>
      <c r="C16" s="279">
        <v>0</v>
      </c>
      <c r="D16" s="280"/>
      <c r="E16" s="280"/>
      <c r="F16" s="277"/>
      <c r="G16" s="281"/>
      <c r="H16" s="281"/>
      <c r="I16" s="282">
        <f t="shared" si="0"/>
        <v>0</v>
      </c>
      <c r="J16" s="282">
        <f t="shared" si="0"/>
        <v>0</v>
      </c>
      <c r="K16" s="282">
        <f t="shared" si="0"/>
        <v>0</v>
      </c>
      <c r="L16" s="197"/>
      <c r="M16" s="197"/>
      <c r="N16" s="197"/>
      <c r="O16" s="197"/>
      <c r="P16" s="197"/>
      <c r="Q16" s="197"/>
    </row>
    <row r="17" spans="1:17" s="185" customFormat="1" ht="31.5" x14ac:dyDescent="0.25">
      <c r="A17" s="277" t="s">
        <v>12</v>
      </c>
      <c r="B17" s="278" t="s">
        <v>69</v>
      </c>
      <c r="C17" s="279">
        <v>235000</v>
      </c>
      <c r="D17" s="280">
        <v>17200</v>
      </c>
      <c r="E17" s="280">
        <v>217800</v>
      </c>
      <c r="F17" s="283">
        <v>300864.56334100006</v>
      </c>
      <c r="G17" s="281">
        <v>4700</v>
      </c>
      <c r="H17" s="281">
        <v>296164.56334100006</v>
      </c>
      <c r="I17" s="282">
        <f t="shared" si="0"/>
        <v>128.0274737621277</v>
      </c>
      <c r="J17" s="282">
        <f t="shared" si="0"/>
        <v>27.325581395348834</v>
      </c>
      <c r="K17" s="282">
        <f t="shared" si="0"/>
        <v>135.98005663039487</v>
      </c>
      <c r="L17" s="197"/>
      <c r="M17" s="197"/>
      <c r="N17" s="197"/>
      <c r="O17" s="197"/>
      <c r="P17" s="197"/>
      <c r="Q17" s="197"/>
    </row>
    <row r="18" spans="1:17" s="185" customFormat="1" ht="31.5" x14ac:dyDescent="0.25">
      <c r="A18" s="277" t="s">
        <v>12</v>
      </c>
      <c r="B18" s="278" t="s">
        <v>70</v>
      </c>
      <c r="C18" s="279">
        <v>60000</v>
      </c>
      <c r="D18" s="280">
        <v>50290</v>
      </c>
      <c r="E18" s="280">
        <v>9710</v>
      </c>
      <c r="F18" s="283">
        <v>35264</v>
      </c>
      <c r="G18" s="281">
        <v>35264</v>
      </c>
      <c r="H18" s="281"/>
      <c r="I18" s="282">
        <f t="shared" si="0"/>
        <v>58.773333333333333</v>
      </c>
      <c r="J18" s="282">
        <f t="shared" si="0"/>
        <v>70.121296480413591</v>
      </c>
      <c r="K18" s="282">
        <f t="shared" si="0"/>
        <v>0</v>
      </c>
      <c r="L18" s="197"/>
      <c r="M18" s="197"/>
      <c r="N18" s="197"/>
      <c r="O18" s="197"/>
      <c r="P18" s="197"/>
      <c r="Q18" s="197"/>
    </row>
    <row r="19" spans="1:17" ht="47.25" x14ac:dyDescent="0.25">
      <c r="A19" s="277" t="s">
        <v>12</v>
      </c>
      <c r="B19" s="278" t="s">
        <v>563</v>
      </c>
      <c r="C19" s="279">
        <v>6800</v>
      </c>
      <c r="D19" s="279">
        <v>6800</v>
      </c>
      <c r="E19" s="277"/>
      <c r="F19" s="283">
        <v>25426</v>
      </c>
      <c r="G19" s="281">
        <v>25426</v>
      </c>
      <c r="H19" s="281"/>
      <c r="I19" s="282"/>
      <c r="J19" s="282"/>
      <c r="K19" s="282"/>
      <c r="L19" s="197"/>
      <c r="M19" s="197"/>
      <c r="N19" s="197"/>
      <c r="O19" s="197"/>
      <c r="P19" s="197"/>
      <c r="Q19" s="197"/>
    </row>
    <row r="20" spans="1:17" ht="78.75" x14ac:dyDescent="0.25">
      <c r="A20" s="150">
        <v>2</v>
      </c>
      <c r="B20" s="36" t="s">
        <v>202</v>
      </c>
      <c r="C20" s="274"/>
      <c r="D20" s="274"/>
      <c r="E20" s="275">
        <v>0</v>
      </c>
      <c r="F20" s="274">
        <v>17902</v>
      </c>
      <c r="G20" s="274">
        <v>17902</v>
      </c>
      <c r="H20" s="274"/>
      <c r="I20" s="84">
        <f t="shared" si="0"/>
        <v>0</v>
      </c>
      <c r="J20" s="84">
        <f t="shared" si="0"/>
        <v>0</v>
      </c>
      <c r="K20" s="84">
        <f t="shared" si="0"/>
        <v>0</v>
      </c>
      <c r="L20" s="197"/>
      <c r="M20" s="197"/>
      <c r="N20" s="197"/>
      <c r="O20" s="197"/>
      <c r="P20" s="197"/>
      <c r="Q20" s="197"/>
    </row>
    <row r="21" spans="1:17" s="125" customFormat="1" ht="15.75" x14ac:dyDescent="0.25">
      <c r="A21" s="150">
        <v>3</v>
      </c>
      <c r="B21" s="36" t="s">
        <v>71</v>
      </c>
      <c r="C21" s="274"/>
      <c r="D21" s="274">
        <v>0</v>
      </c>
      <c r="E21" s="275">
        <v>0</v>
      </c>
      <c r="F21" s="274">
        <v>0</v>
      </c>
      <c r="G21" s="274"/>
      <c r="H21" s="274"/>
      <c r="I21" s="84">
        <f t="shared" si="0"/>
        <v>0</v>
      </c>
      <c r="J21" s="84">
        <f t="shared" si="0"/>
        <v>0</v>
      </c>
      <c r="K21" s="84">
        <f t="shared" si="0"/>
        <v>0</v>
      </c>
      <c r="L21" s="197"/>
      <c r="M21" s="197"/>
      <c r="N21" s="197"/>
      <c r="O21" s="197"/>
      <c r="P21" s="197"/>
      <c r="Q21" s="197"/>
    </row>
    <row r="22" spans="1:17" ht="15.75" x14ac:dyDescent="0.25">
      <c r="A22" s="100" t="s">
        <v>25</v>
      </c>
      <c r="B22" s="101" t="s">
        <v>22</v>
      </c>
      <c r="C22" s="272">
        <v>4959919</v>
      </c>
      <c r="D22" s="272">
        <v>1741764</v>
      </c>
      <c r="E22" s="272">
        <v>3218155</v>
      </c>
      <c r="F22" s="272">
        <v>5030942.4719049996</v>
      </c>
      <c r="G22" s="272">
        <v>1767235.2621640002</v>
      </c>
      <c r="H22" s="272">
        <v>3263707.2097409992</v>
      </c>
      <c r="I22" s="77">
        <f t="shared" si="0"/>
        <v>101.43194822143265</v>
      </c>
      <c r="J22" s="77">
        <f t="shared" si="0"/>
        <v>101.46238308772028</v>
      </c>
      <c r="K22" s="77">
        <f t="shared" si="0"/>
        <v>101.41547594012717</v>
      </c>
      <c r="L22" s="197"/>
      <c r="M22" s="197"/>
      <c r="N22" s="197"/>
      <c r="O22" s="197"/>
      <c r="P22" s="197"/>
      <c r="Q22" s="197"/>
    </row>
    <row r="23" spans="1:17" ht="15.75" x14ac:dyDescent="0.25">
      <c r="A23" s="150"/>
      <c r="B23" s="278" t="s">
        <v>72</v>
      </c>
      <c r="C23" s="272"/>
      <c r="D23" s="274"/>
      <c r="E23" s="274"/>
      <c r="F23" s="274"/>
      <c r="G23" s="274"/>
      <c r="H23" s="274"/>
      <c r="I23" s="84">
        <f t="shared" si="0"/>
        <v>0</v>
      </c>
      <c r="J23" s="84">
        <f t="shared" si="0"/>
        <v>0</v>
      </c>
      <c r="K23" s="84">
        <f t="shared" si="0"/>
        <v>0</v>
      </c>
      <c r="L23" s="197"/>
      <c r="M23" s="197"/>
      <c r="N23" s="197"/>
      <c r="O23" s="197"/>
      <c r="P23" s="197"/>
      <c r="Q23" s="197"/>
    </row>
    <row r="24" spans="1:17" ht="15.75" x14ac:dyDescent="0.25">
      <c r="A24" s="277">
        <v>1</v>
      </c>
      <c r="B24" s="278" t="s">
        <v>67</v>
      </c>
      <c r="C24" s="279">
        <v>2271049</v>
      </c>
      <c r="D24" s="279">
        <v>406451</v>
      </c>
      <c r="E24" s="279">
        <v>1864598</v>
      </c>
      <c r="F24" s="279">
        <v>2252031.432664</v>
      </c>
      <c r="G24" s="279">
        <v>389571.36274999997</v>
      </c>
      <c r="H24" s="279">
        <v>1862460.0699140001</v>
      </c>
      <c r="I24" s="282">
        <f t="shared" ref="I24:K60" si="1">IF(C24=0,0,F24/C24*100)</f>
        <v>99.162608673965195</v>
      </c>
      <c r="J24" s="282">
        <f t="shared" si="1"/>
        <v>95.847067112640886</v>
      </c>
      <c r="K24" s="282">
        <f t="shared" si="1"/>
        <v>99.885340964325835</v>
      </c>
      <c r="L24" s="197"/>
      <c r="M24" s="197"/>
      <c r="N24" s="197"/>
      <c r="O24" s="197"/>
      <c r="P24" s="197"/>
      <c r="Q24" s="197"/>
    </row>
    <row r="25" spans="1:17" s="125" customFormat="1" ht="15.75" x14ac:dyDescent="0.25">
      <c r="A25" s="277">
        <v>2</v>
      </c>
      <c r="B25" s="278" t="s">
        <v>68</v>
      </c>
      <c r="C25" s="279">
        <v>16388</v>
      </c>
      <c r="D25" s="279">
        <v>14888</v>
      </c>
      <c r="E25" s="279">
        <v>1500</v>
      </c>
      <c r="F25" s="283">
        <v>12202.081040999999</v>
      </c>
      <c r="G25" s="279">
        <v>10675.246561</v>
      </c>
      <c r="H25" s="279">
        <v>1526.8344799999995</v>
      </c>
      <c r="I25" s="282">
        <f t="shared" si="1"/>
        <v>74.457414211618257</v>
      </c>
      <c r="J25" s="282">
        <f t="shared" si="1"/>
        <v>71.703698018538418</v>
      </c>
      <c r="K25" s="282">
        <f t="shared" si="1"/>
        <v>101.78896533333331</v>
      </c>
      <c r="L25" s="197"/>
      <c r="M25" s="197"/>
      <c r="N25" s="197"/>
      <c r="O25" s="197"/>
      <c r="P25" s="197"/>
      <c r="Q25" s="197"/>
    </row>
    <row r="26" spans="1:17" s="125" customFormat="1" ht="31.5" x14ac:dyDescent="0.25">
      <c r="A26" s="100" t="s">
        <v>29</v>
      </c>
      <c r="B26" s="101" t="s">
        <v>231</v>
      </c>
      <c r="C26" s="272">
        <v>2200</v>
      </c>
      <c r="D26" s="272">
        <v>2200</v>
      </c>
      <c r="E26" s="272"/>
      <c r="F26" s="272">
        <v>9699.7659999999996</v>
      </c>
      <c r="G26" s="272">
        <v>9699.7659999999996</v>
      </c>
      <c r="H26" s="272">
        <v>0</v>
      </c>
      <c r="I26" s="77">
        <f t="shared" si="1"/>
        <v>440.89845454545451</v>
      </c>
      <c r="J26" s="77">
        <f t="shared" si="1"/>
        <v>440.89845454545451</v>
      </c>
      <c r="K26" s="77">
        <f t="shared" si="1"/>
        <v>0</v>
      </c>
      <c r="L26" s="197"/>
      <c r="M26" s="197"/>
      <c r="N26" s="197"/>
      <c r="O26" s="197"/>
      <c r="P26" s="197"/>
      <c r="Q26" s="197"/>
    </row>
    <row r="27" spans="1:17" s="125" customFormat="1" ht="15.75" x14ac:dyDescent="0.25">
      <c r="A27" s="100" t="s">
        <v>56</v>
      </c>
      <c r="B27" s="101" t="s">
        <v>23</v>
      </c>
      <c r="C27" s="272">
        <v>1000</v>
      </c>
      <c r="D27" s="272">
        <v>1000</v>
      </c>
      <c r="E27" s="272"/>
      <c r="F27" s="272">
        <v>24154</v>
      </c>
      <c r="G27" s="272">
        <v>24154</v>
      </c>
      <c r="H27" s="272">
        <v>0</v>
      </c>
      <c r="I27" s="77">
        <f t="shared" si="1"/>
        <v>2415.4</v>
      </c>
      <c r="J27" s="77">
        <f t="shared" si="1"/>
        <v>2415.4</v>
      </c>
      <c r="K27" s="77">
        <f t="shared" si="1"/>
        <v>0</v>
      </c>
      <c r="L27" s="197"/>
      <c r="M27" s="197"/>
      <c r="N27" s="197"/>
      <c r="O27" s="197"/>
      <c r="P27" s="197"/>
      <c r="Q27" s="197"/>
    </row>
    <row r="28" spans="1:17" s="125" customFormat="1" ht="27" customHeight="1" x14ac:dyDescent="0.25">
      <c r="A28" s="100" t="s">
        <v>73</v>
      </c>
      <c r="B28" s="101" t="s">
        <v>24</v>
      </c>
      <c r="C28" s="272">
        <v>142038</v>
      </c>
      <c r="D28" s="272">
        <v>67330</v>
      </c>
      <c r="E28" s="272">
        <v>74708</v>
      </c>
      <c r="F28" s="272"/>
      <c r="G28" s="272"/>
      <c r="H28" s="272"/>
      <c r="I28" s="77">
        <f t="shared" si="1"/>
        <v>0</v>
      </c>
      <c r="J28" s="77">
        <f t="shared" si="1"/>
        <v>0</v>
      </c>
      <c r="K28" s="77">
        <f t="shared" si="1"/>
        <v>0</v>
      </c>
      <c r="L28" s="197"/>
      <c r="M28" s="197"/>
      <c r="N28" s="197"/>
      <c r="O28" s="197"/>
      <c r="P28" s="197"/>
      <c r="Q28" s="197"/>
    </row>
    <row r="29" spans="1:17" s="125" customFormat="1" ht="150.75" customHeight="1" x14ac:dyDescent="0.25">
      <c r="A29" s="100" t="s">
        <v>74</v>
      </c>
      <c r="B29" s="101" t="s">
        <v>436</v>
      </c>
      <c r="C29" s="272">
        <v>1188740</v>
      </c>
      <c r="D29" s="272">
        <v>1010785</v>
      </c>
      <c r="E29" s="272">
        <v>177955</v>
      </c>
      <c r="F29" s="272">
        <v>289806.20163799997</v>
      </c>
      <c r="G29" s="272">
        <v>289806.20163799997</v>
      </c>
      <c r="H29" s="272">
        <v>0</v>
      </c>
      <c r="I29" s="77"/>
      <c r="J29" s="77">
        <f t="shared" si="1"/>
        <v>28.671399124245017</v>
      </c>
      <c r="K29" s="77"/>
      <c r="L29" s="197"/>
      <c r="M29" s="197"/>
      <c r="N29" s="197"/>
      <c r="O29" s="197"/>
      <c r="P29" s="197"/>
      <c r="Q29" s="197"/>
    </row>
    <row r="30" spans="1:17" s="125" customFormat="1" ht="30.75" customHeight="1" x14ac:dyDescent="0.25">
      <c r="A30" s="100" t="s">
        <v>383</v>
      </c>
      <c r="B30" s="101" t="s">
        <v>552</v>
      </c>
      <c r="C30" s="272"/>
      <c r="D30" s="272"/>
      <c r="E30" s="272">
        <v>0</v>
      </c>
      <c r="F30" s="284">
        <v>23623.342885999999</v>
      </c>
      <c r="G30" s="285">
        <v>0</v>
      </c>
      <c r="H30" s="285">
        <v>23623.342885999999</v>
      </c>
      <c r="I30" s="77">
        <f t="shared" si="1"/>
        <v>0</v>
      </c>
      <c r="J30" s="77">
        <f t="shared" si="1"/>
        <v>0</v>
      </c>
      <c r="K30" s="77">
        <f t="shared" si="1"/>
        <v>0</v>
      </c>
      <c r="L30" s="197"/>
      <c r="M30" s="197"/>
      <c r="N30" s="197"/>
      <c r="O30" s="197"/>
      <c r="P30" s="197"/>
      <c r="Q30" s="197"/>
    </row>
    <row r="31" spans="1:17" s="125" customFormat="1" ht="15.75" x14ac:dyDescent="0.25">
      <c r="A31" s="100" t="s">
        <v>384</v>
      </c>
      <c r="B31" s="101" t="s">
        <v>437</v>
      </c>
      <c r="C31" s="272"/>
      <c r="D31" s="272"/>
      <c r="E31" s="272">
        <v>0</v>
      </c>
      <c r="F31" s="284">
        <v>11000</v>
      </c>
      <c r="G31" s="285">
        <v>11000</v>
      </c>
      <c r="H31" s="285">
        <v>0</v>
      </c>
      <c r="I31" s="77">
        <f t="shared" si="1"/>
        <v>0</v>
      </c>
      <c r="J31" s="77">
        <f t="shared" si="1"/>
        <v>0</v>
      </c>
      <c r="K31" s="77">
        <f t="shared" si="1"/>
        <v>0</v>
      </c>
      <c r="L31" s="197"/>
      <c r="M31" s="197"/>
      <c r="N31" s="197"/>
      <c r="O31" s="197"/>
      <c r="P31" s="197"/>
      <c r="Q31" s="197"/>
    </row>
    <row r="32" spans="1:17" s="125" customFormat="1" ht="15.75" x14ac:dyDescent="0.25">
      <c r="A32" s="100" t="s">
        <v>242</v>
      </c>
      <c r="B32" s="101" t="s">
        <v>243</v>
      </c>
      <c r="C32" s="272">
        <v>48400</v>
      </c>
      <c r="D32" s="240">
        <v>48400</v>
      </c>
      <c r="E32" s="272">
        <v>0</v>
      </c>
      <c r="F32" s="284">
        <v>22936.998068000001</v>
      </c>
      <c r="G32" s="285">
        <v>22936.998068000001</v>
      </c>
      <c r="H32" s="285">
        <v>0</v>
      </c>
      <c r="I32" s="77">
        <f t="shared" si="1"/>
        <v>47.39049187603306</v>
      </c>
      <c r="J32" s="77">
        <f t="shared" si="1"/>
        <v>47.39049187603306</v>
      </c>
      <c r="K32" s="77">
        <f t="shared" si="1"/>
        <v>0</v>
      </c>
      <c r="L32" s="197"/>
      <c r="M32" s="197"/>
      <c r="N32" s="197"/>
      <c r="O32" s="197"/>
      <c r="P32" s="197"/>
      <c r="Q32" s="197"/>
    </row>
    <row r="33" spans="1:17" s="125" customFormat="1" ht="31.5" x14ac:dyDescent="0.25">
      <c r="A33" s="100" t="s">
        <v>8</v>
      </c>
      <c r="B33" s="101" t="s">
        <v>75</v>
      </c>
      <c r="C33" s="272">
        <v>1446731</v>
      </c>
      <c r="D33" s="272">
        <v>1445431</v>
      </c>
      <c r="E33" s="272">
        <v>1300</v>
      </c>
      <c r="F33" s="272">
        <v>1389457.812434</v>
      </c>
      <c r="G33" s="272">
        <v>1107703.378755</v>
      </c>
      <c r="H33" s="272">
        <v>281754.43367900001</v>
      </c>
      <c r="I33" s="77">
        <f t="shared" si="1"/>
        <v>96.041199948988449</v>
      </c>
      <c r="J33" s="77">
        <f t="shared" si="1"/>
        <v>76.634815411804496</v>
      </c>
      <c r="K33" s="77">
        <f t="shared" si="1"/>
        <v>21673.417975307693</v>
      </c>
      <c r="L33" s="197"/>
      <c r="M33" s="197"/>
      <c r="N33" s="197"/>
      <c r="O33" s="197"/>
      <c r="P33" s="197"/>
      <c r="Q33" s="197"/>
    </row>
    <row r="34" spans="1:17" ht="31.5" x14ac:dyDescent="0.25">
      <c r="A34" s="100" t="s">
        <v>39</v>
      </c>
      <c r="B34" s="101" t="s">
        <v>27</v>
      </c>
      <c r="C34" s="272">
        <v>0</v>
      </c>
      <c r="D34" s="272">
        <v>0</v>
      </c>
      <c r="E34" s="272">
        <v>0</v>
      </c>
      <c r="F34" s="272">
        <v>307765.92214800004</v>
      </c>
      <c r="G34" s="272">
        <v>27309.388468999998</v>
      </c>
      <c r="H34" s="272">
        <v>280456.53367899999</v>
      </c>
      <c r="I34" s="77">
        <f t="shared" si="1"/>
        <v>0</v>
      </c>
      <c r="J34" s="77">
        <f t="shared" si="1"/>
        <v>0</v>
      </c>
      <c r="K34" s="77">
        <f t="shared" si="1"/>
        <v>0</v>
      </c>
      <c r="L34" s="197"/>
      <c r="M34" s="197"/>
      <c r="N34" s="197"/>
      <c r="O34" s="197"/>
      <c r="P34" s="197"/>
      <c r="Q34" s="197"/>
    </row>
    <row r="35" spans="1:17" ht="15.75" x14ac:dyDescent="0.25">
      <c r="A35" s="150">
        <v>1</v>
      </c>
      <c r="B35" s="36" t="s">
        <v>203</v>
      </c>
      <c r="C35" s="272">
        <v>0</v>
      </c>
      <c r="D35" s="274"/>
      <c r="E35" s="272"/>
      <c r="F35" s="274">
        <v>92094.31191400002</v>
      </c>
      <c r="G35" s="274">
        <v>2352.9217040000003</v>
      </c>
      <c r="H35" s="274">
        <v>89741.390210000012</v>
      </c>
      <c r="I35" s="84">
        <f t="shared" si="1"/>
        <v>0</v>
      </c>
      <c r="J35" s="84">
        <f t="shared" si="1"/>
        <v>0</v>
      </c>
      <c r="K35" s="84">
        <f t="shared" si="1"/>
        <v>0</v>
      </c>
      <c r="L35" s="197"/>
      <c r="M35" s="197"/>
      <c r="N35" s="197"/>
      <c r="O35" s="197"/>
      <c r="P35" s="197"/>
      <c r="Q35" s="197"/>
    </row>
    <row r="36" spans="1:17" s="125" customFormat="1" ht="31.5" customHeight="1" x14ac:dyDescent="0.25">
      <c r="A36" s="150">
        <v>2</v>
      </c>
      <c r="B36" s="36" t="s">
        <v>204</v>
      </c>
      <c r="C36" s="272">
        <v>0</v>
      </c>
      <c r="D36" s="274"/>
      <c r="E36" s="272"/>
      <c r="F36" s="274">
        <v>76617.220791999993</v>
      </c>
      <c r="G36" s="274">
        <v>6694.0690869999989</v>
      </c>
      <c r="H36" s="274">
        <v>69923.151704999997</v>
      </c>
      <c r="I36" s="84">
        <f t="shared" si="1"/>
        <v>0</v>
      </c>
      <c r="J36" s="84">
        <f t="shared" si="1"/>
        <v>0</v>
      </c>
      <c r="K36" s="84">
        <f t="shared" si="1"/>
        <v>0</v>
      </c>
      <c r="L36" s="197"/>
      <c r="M36" s="197"/>
      <c r="N36" s="197"/>
      <c r="O36" s="197"/>
      <c r="P36" s="197"/>
      <c r="Q36" s="197"/>
    </row>
    <row r="37" spans="1:17" s="125" customFormat="1" ht="63" x14ac:dyDescent="0.25">
      <c r="A37" s="150">
        <v>3</v>
      </c>
      <c r="B37" s="36" t="s">
        <v>564</v>
      </c>
      <c r="C37" s="272"/>
      <c r="D37" s="274"/>
      <c r="E37" s="272"/>
      <c r="F37" s="274">
        <v>139054.38944200001</v>
      </c>
      <c r="G37" s="274">
        <v>18262.397677999998</v>
      </c>
      <c r="H37" s="274">
        <v>120791.99176400001</v>
      </c>
      <c r="I37" s="84"/>
      <c r="J37" s="84"/>
      <c r="K37" s="84"/>
      <c r="L37" s="197"/>
      <c r="M37" s="197"/>
      <c r="N37" s="197"/>
      <c r="O37" s="197"/>
      <c r="P37" s="197"/>
      <c r="Q37" s="197"/>
    </row>
    <row r="38" spans="1:17" s="125" customFormat="1" ht="31.5" x14ac:dyDescent="0.25">
      <c r="A38" s="100" t="s">
        <v>25</v>
      </c>
      <c r="B38" s="101" t="s">
        <v>205</v>
      </c>
      <c r="C38" s="272">
        <v>1446731</v>
      </c>
      <c r="D38" s="272">
        <v>1445431</v>
      </c>
      <c r="E38" s="272">
        <v>1300</v>
      </c>
      <c r="F38" s="272">
        <v>1081691.890286</v>
      </c>
      <c r="G38" s="272">
        <v>1080393.9902860001</v>
      </c>
      <c r="H38" s="272">
        <v>1297.9000000000001</v>
      </c>
      <c r="I38" s="77">
        <f t="shared" si="1"/>
        <v>74.768003885034602</v>
      </c>
      <c r="J38" s="77">
        <f t="shared" si="1"/>
        <v>74.745455873438445</v>
      </c>
      <c r="K38" s="77">
        <f t="shared" si="1"/>
        <v>99.838461538461544</v>
      </c>
      <c r="L38" s="197"/>
      <c r="M38" s="197"/>
      <c r="N38" s="197"/>
      <c r="O38" s="197"/>
      <c r="P38" s="197"/>
      <c r="Q38" s="197"/>
    </row>
    <row r="39" spans="1:17" s="125" customFormat="1" ht="15.75" x14ac:dyDescent="0.25">
      <c r="A39" s="100" t="s">
        <v>206</v>
      </c>
      <c r="B39" s="101" t="s">
        <v>207</v>
      </c>
      <c r="C39" s="272">
        <v>1382515</v>
      </c>
      <c r="D39" s="272">
        <v>1382515</v>
      </c>
      <c r="E39" s="272">
        <v>0</v>
      </c>
      <c r="F39" s="272">
        <v>1025371.9902860001</v>
      </c>
      <c r="G39" s="272">
        <v>1025371.9902860001</v>
      </c>
      <c r="H39" s="272">
        <v>0</v>
      </c>
      <c r="I39" s="77">
        <f t="shared" si="1"/>
        <v>74.167151190837004</v>
      </c>
      <c r="J39" s="77">
        <f t="shared" si="1"/>
        <v>74.167151190837004</v>
      </c>
      <c r="K39" s="77">
        <f t="shared" si="1"/>
        <v>0</v>
      </c>
      <c r="L39" s="197"/>
      <c r="M39" s="197"/>
      <c r="N39" s="197"/>
      <c r="O39" s="197"/>
      <c r="P39" s="197"/>
      <c r="Q39" s="197"/>
    </row>
    <row r="40" spans="1:17" ht="15.75" x14ac:dyDescent="0.25">
      <c r="A40" s="100">
        <v>1</v>
      </c>
      <c r="B40" s="101" t="s">
        <v>145</v>
      </c>
      <c r="C40" s="272">
        <v>292168</v>
      </c>
      <c r="D40" s="272">
        <v>292168</v>
      </c>
      <c r="E40" s="272">
        <v>0</v>
      </c>
      <c r="F40" s="272">
        <v>147349.483634</v>
      </c>
      <c r="G40" s="272">
        <v>147349.483634</v>
      </c>
      <c r="H40" s="272"/>
      <c r="I40" s="77"/>
      <c r="J40" s="77"/>
      <c r="K40" s="77"/>
      <c r="L40" s="197"/>
      <c r="M40" s="197"/>
      <c r="N40" s="197"/>
      <c r="O40" s="197"/>
      <c r="P40" s="197"/>
      <c r="Q40" s="197"/>
    </row>
    <row r="41" spans="1:17" ht="31.5" x14ac:dyDescent="0.25">
      <c r="A41" s="150" t="s">
        <v>12</v>
      </c>
      <c r="B41" s="92" t="s">
        <v>441</v>
      </c>
      <c r="C41" s="274">
        <v>14968</v>
      </c>
      <c r="D41" s="274">
        <v>14968</v>
      </c>
      <c r="E41" s="274"/>
      <c r="F41" s="274">
        <v>12113.023902999999</v>
      </c>
      <c r="G41" s="274">
        <v>12113.023902999999</v>
      </c>
      <c r="H41" s="272"/>
      <c r="I41" s="77"/>
      <c r="J41" s="77"/>
      <c r="K41" s="77"/>
      <c r="L41" s="197"/>
      <c r="M41" s="197"/>
      <c r="N41" s="197"/>
      <c r="O41" s="197"/>
      <c r="P41" s="197"/>
      <c r="Q41" s="197"/>
    </row>
    <row r="42" spans="1:17" s="125" customFormat="1" ht="15.75" x14ac:dyDescent="0.25">
      <c r="A42" s="150" t="s">
        <v>12</v>
      </c>
      <c r="B42" s="91" t="s">
        <v>442</v>
      </c>
      <c r="C42" s="274">
        <v>12750</v>
      </c>
      <c r="D42" s="274">
        <v>12750</v>
      </c>
      <c r="E42" s="274"/>
      <c r="F42" s="274">
        <v>9184.7167270000009</v>
      </c>
      <c r="G42" s="274">
        <v>9184.7167270000009</v>
      </c>
      <c r="H42" s="274"/>
      <c r="I42" s="84"/>
      <c r="J42" s="84"/>
      <c r="K42" s="84"/>
      <c r="L42" s="197"/>
      <c r="M42" s="197"/>
      <c r="N42" s="197"/>
      <c r="O42" s="197"/>
      <c r="P42" s="197"/>
      <c r="Q42" s="197"/>
    </row>
    <row r="43" spans="1:17" ht="47.25" x14ac:dyDescent="0.25">
      <c r="A43" s="150" t="s">
        <v>12</v>
      </c>
      <c r="B43" s="286" t="s">
        <v>443</v>
      </c>
      <c r="C43" s="274">
        <v>220000</v>
      </c>
      <c r="D43" s="274">
        <v>220000</v>
      </c>
      <c r="E43" s="274"/>
      <c r="F43" s="274">
        <v>90952.904225000006</v>
      </c>
      <c r="G43" s="274">
        <v>90952.904225000006</v>
      </c>
      <c r="H43" s="274"/>
      <c r="I43" s="84"/>
      <c r="J43" s="84"/>
      <c r="K43" s="84"/>
      <c r="L43" s="197"/>
      <c r="M43" s="197"/>
      <c r="N43" s="197"/>
      <c r="O43" s="197"/>
      <c r="P43" s="197"/>
      <c r="Q43" s="197"/>
    </row>
    <row r="44" spans="1:17" ht="47.25" x14ac:dyDescent="0.25">
      <c r="A44" s="150" t="s">
        <v>12</v>
      </c>
      <c r="B44" s="287" t="s">
        <v>444</v>
      </c>
      <c r="C44" s="274">
        <v>44450</v>
      </c>
      <c r="D44" s="274">
        <v>44450</v>
      </c>
      <c r="E44" s="274"/>
      <c r="F44" s="274">
        <v>35098.838778999998</v>
      </c>
      <c r="G44" s="274">
        <v>35098.838778999998</v>
      </c>
      <c r="H44" s="272"/>
      <c r="I44" s="77"/>
      <c r="J44" s="77"/>
      <c r="K44" s="77"/>
      <c r="L44" s="197"/>
      <c r="M44" s="197"/>
      <c r="N44" s="197"/>
      <c r="O44" s="197"/>
      <c r="P44" s="197"/>
      <c r="Q44" s="197"/>
    </row>
    <row r="45" spans="1:17" ht="15.75" x14ac:dyDescent="0.25">
      <c r="A45" s="100" t="s">
        <v>445</v>
      </c>
      <c r="B45" s="101" t="s">
        <v>127</v>
      </c>
      <c r="C45" s="272">
        <v>1090347</v>
      </c>
      <c r="D45" s="272">
        <v>1090347</v>
      </c>
      <c r="E45" s="272">
        <v>0</v>
      </c>
      <c r="F45" s="272">
        <v>878022.50665200013</v>
      </c>
      <c r="G45" s="272">
        <v>878022.50665200013</v>
      </c>
      <c r="H45" s="274"/>
      <c r="I45" s="84"/>
      <c r="J45" s="84"/>
      <c r="K45" s="84"/>
      <c r="L45" s="197"/>
      <c r="M45" s="197"/>
      <c r="N45" s="197"/>
      <c r="O45" s="197"/>
      <c r="P45" s="197"/>
      <c r="Q45" s="197"/>
    </row>
    <row r="46" spans="1:17" ht="15.75" x14ac:dyDescent="0.25">
      <c r="A46" s="150" t="s">
        <v>12</v>
      </c>
      <c r="B46" s="92" t="s">
        <v>450</v>
      </c>
      <c r="C46" s="274">
        <v>726755</v>
      </c>
      <c r="D46" s="274">
        <v>726755</v>
      </c>
      <c r="E46" s="274"/>
      <c r="F46" s="274">
        <v>449062.72099999996</v>
      </c>
      <c r="G46" s="274">
        <v>449062.72099999996</v>
      </c>
      <c r="H46" s="274"/>
      <c r="I46" s="84"/>
      <c r="J46" s="84"/>
      <c r="K46" s="84"/>
      <c r="L46" s="197"/>
      <c r="M46" s="197"/>
      <c r="N46" s="197"/>
      <c r="O46" s="197"/>
      <c r="P46" s="197"/>
      <c r="Q46" s="197"/>
    </row>
    <row r="47" spans="1:17" s="125" customFormat="1" ht="31.5" x14ac:dyDescent="0.25">
      <c r="A47" s="150" t="s">
        <v>12</v>
      </c>
      <c r="B47" s="36" t="s">
        <v>453</v>
      </c>
      <c r="C47" s="274">
        <v>154000</v>
      </c>
      <c r="D47" s="274">
        <v>154000</v>
      </c>
      <c r="E47" s="274"/>
      <c r="F47" s="274">
        <v>165346.185895</v>
      </c>
      <c r="G47" s="274">
        <v>165346.185895</v>
      </c>
      <c r="H47" s="274"/>
      <c r="I47" s="84"/>
      <c r="J47" s="84"/>
      <c r="K47" s="84"/>
      <c r="L47" s="197"/>
      <c r="M47" s="197"/>
      <c r="N47" s="197"/>
      <c r="O47" s="197"/>
      <c r="P47" s="197"/>
      <c r="Q47" s="197"/>
    </row>
    <row r="48" spans="1:17" ht="15.75" x14ac:dyDescent="0.25">
      <c r="A48" s="150" t="s">
        <v>12</v>
      </c>
      <c r="B48" s="36" t="s">
        <v>454</v>
      </c>
      <c r="C48" s="274">
        <v>189592</v>
      </c>
      <c r="D48" s="274">
        <v>189592</v>
      </c>
      <c r="E48" s="274"/>
      <c r="F48" s="274">
        <v>219037.88592500001</v>
      </c>
      <c r="G48" s="274">
        <v>219037.88592500001</v>
      </c>
      <c r="H48" s="274"/>
      <c r="I48" s="84"/>
      <c r="J48" s="84"/>
      <c r="K48" s="84"/>
      <c r="L48" s="197"/>
      <c r="M48" s="197"/>
      <c r="N48" s="197"/>
      <c r="O48" s="197"/>
      <c r="P48" s="197"/>
      <c r="Q48" s="197"/>
    </row>
    <row r="49" spans="1:17" ht="15.75" x14ac:dyDescent="0.25">
      <c r="A49" s="150" t="s">
        <v>12</v>
      </c>
      <c r="B49" s="92" t="s">
        <v>456</v>
      </c>
      <c r="C49" s="274">
        <v>20000</v>
      </c>
      <c r="D49" s="274">
        <v>20000</v>
      </c>
      <c r="E49" s="274"/>
      <c r="F49" s="274">
        <v>44575.713831999994</v>
      </c>
      <c r="G49" s="274">
        <v>44575.713831999994</v>
      </c>
      <c r="H49" s="272"/>
      <c r="I49" s="77"/>
      <c r="J49" s="77"/>
      <c r="K49" s="77"/>
      <c r="L49" s="197"/>
      <c r="M49" s="197"/>
      <c r="N49" s="197"/>
      <c r="O49" s="197"/>
      <c r="P49" s="197"/>
      <c r="Q49" s="197"/>
    </row>
    <row r="50" spans="1:17" ht="15.75" x14ac:dyDescent="0.25">
      <c r="A50" s="100" t="s">
        <v>208</v>
      </c>
      <c r="B50" s="101" t="s">
        <v>209</v>
      </c>
      <c r="C50" s="272">
        <v>64216</v>
      </c>
      <c r="D50" s="272">
        <v>62916</v>
      </c>
      <c r="E50" s="272">
        <v>1300</v>
      </c>
      <c r="F50" s="272">
        <v>56319.9</v>
      </c>
      <c r="G50" s="272">
        <v>55022</v>
      </c>
      <c r="H50" s="272">
        <v>1297.9000000000001</v>
      </c>
      <c r="I50" s="77">
        <f t="shared" si="1"/>
        <v>87.703843278933604</v>
      </c>
      <c r="J50" s="77">
        <f t="shared" si="1"/>
        <v>87.45311208595588</v>
      </c>
      <c r="K50" s="77">
        <f t="shared" si="1"/>
        <v>99.838461538461544</v>
      </c>
      <c r="L50" s="197"/>
      <c r="M50" s="197"/>
      <c r="N50" s="197"/>
      <c r="O50" s="197"/>
      <c r="P50" s="197"/>
      <c r="Q50" s="197"/>
    </row>
    <row r="51" spans="1:17" s="125" customFormat="1" ht="15.75" x14ac:dyDescent="0.25">
      <c r="A51" s="100">
        <v>1</v>
      </c>
      <c r="B51" s="101" t="s">
        <v>128</v>
      </c>
      <c r="C51" s="272">
        <v>3790</v>
      </c>
      <c r="D51" s="272">
        <v>3790</v>
      </c>
      <c r="E51" s="272">
        <v>0</v>
      </c>
      <c r="F51" s="272">
        <v>0</v>
      </c>
      <c r="G51" s="272">
        <v>0</v>
      </c>
      <c r="H51" s="272">
        <v>0</v>
      </c>
      <c r="I51" s="77">
        <f t="shared" si="1"/>
        <v>0</v>
      </c>
      <c r="J51" s="77">
        <f t="shared" si="1"/>
        <v>0</v>
      </c>
      <c r="K51" s="77">
        <f t="shared" si="1"/>
        <v>0</v>
      </c>
      <c r="L51" s="197"/>
      <c r="M51" s="197"/>
      <c r="N51" s="197"/>
      <c r="O51" s="197"/>
      <c r="P51" s="197"/>
      <c r="Q51" s="197"/>
    </row>
    <row r="52" spans="1:17" s="125" customFormat="1" ht="15.75" x14ac:dyDescent="0.25">
      <c r="A52" s="150" t="s">
        <v>244</v>
      </c>
      <c r="B52" s="36" t="s">
        <v>467</v>
      </c>
      <c r="C52" s="274">
        <v>3790</v>
      </c>
      <c r="D52" s="274">
        <v>3790</v>
      </c>
      <c r="E52" s="274">
        <v>0</v>
      </c>
      <c r="F52" s="274">
        <v>0</v>
      </c>
      <c r="G52" s="274"/>
      <c r="H52" s="274"/>
      <c r="I52" s="84">
        <f t="shared" si="1"/>
        <v>0</v>
      </c>
      <c r="J52" s="84">
        <f t="shared" si="1"/>
        <v>0</v>
      </c>
      <c r="K52" s="84">
        <f t="shared" si="1"/>
        <v>0</v>
      </c>
      <c r="L52" s="197"/>
      <c r="M52" s="197"/>
      <c r="N52" s="197"/>
      <c r="O52" s="197"/>
      <c r="P52" s="197"/>
      <c r="Q52" s="197"/>
    </row>
    <row r="53" spans="1:17" ht="15.75" x14ac:dyDescent="0.25">
      <c r="A53" s="100">
        <v>2</v>
      </c>
      <c r="B53" s="101" t="s">
        <v>127</v>
      </c>
      <c r="C53" s="272">
        <v>60426</v>
      </c>
      <c r="D53" s="272">
        <v>59126</v>
      </c>
      <c r="E53" s="272">
        <v>1300</v>
      </c>
      <c r="F53" s="272">
        <v>56319.9</v>
      </c>
      <c r="G53" s="272">
        <v>55022</v>
      </c>
      <c r="H53" s="272">
        <v>1297.9000000000001</v>
      </c>
      <c r="I53" s="77">
        <f t="shared" si="1"/>
        <v>93.204746301261054</v>
      </c>
      <c r="J53" s="77">
        <f t="shared" si="1"/>
        <v>93.058891181544496</v>
      </c>
      <c r="K53" s="77">
        <f t="shared" si="1"/>
        <v>99.838461538461544</v>
      </c>
      <c r="L53" s="197"/>
      <c r="M53" s="197"/>
      <c r="N53" s="197"/>
      <c r="O53" s="197"/>
      <c r="P53" s="197"/>
      <c r="Q53" s="197"/>
    </row>
    <row r="54" spans="1:17" ht="47.25" x14ac:dyDescent="0.25">
      <c r="A54" s="150" t="s">
        <v>138</v>
      </c>
      <c r="B54" s="36" t="s">
        <v>565</v>
      </c>
      <c r="C54" s="274">
        <v>1000</v>
      </c>
      <c r="D54" s="274">
        <v>1000</v>
      </c>
      <c r="E54" s="274">
        <v>0</v>
      </c>
      <c r="F54" s="274">
        <v>448</v>
      </c>
      <c r="G54" s="274">
        <v>448</v>
      </c>
      <c r="H54" s="274">
        <v>0</v>
      </c>
      <c r="I54" s="84">
        <f t="shared" si="1"/>
        <v>44.800000000000004</v>
      </c>
      <c r="J54" s="84">
        <f t="shared" si="1"/>
        <v>44.800000000000004</v>
      </c>
      <c r="K54" s="84">
        <f t="shared" si="1"/>
        <v>0</v>
      </c>
      <c r="L54" s="197"/>
      <c r="M54" s="197"/>
      <c r="N54" s="197"/>
      <c r="O54" s="197"/>
      <c r="P54" s="197"/>
      <c r="Q54" s="197"/>
    </row>
    <row r="55" spans="1:17" ht="47.25" x14ac:dyDescent="0.25">
      <c r="A55" s="150" t="s">
        <v>139</v>
      </c>
      <c r="B55" s="36" t="s">
        <v>566</v>
      </c>
      <c r="C55" s="274">
        <v>3000</v>
      </c>
      <c r="D55" s="274">
        <v>3000</v>
      </c>
      <c r="E55" s="274">
        <v>0</v>
      </c>
      <c r="F55" s="274">
        <v>0</v>
      </c>
      <c r="G55" s="274">
        <v>0</v>
      </c>
      <c r="H55" s="274">
        <v>0</v>
      </c>
      <c r="I55" s="84">
        <f t="shared" si="1"/>
        <v>0</v>
      </c>
      <c r="J55" s="84">
        <f t="shared" si="1"/>
        <v>0</v>
      </c>
      <c r="K55" s="84">
        <f t="shared" si="1"/>
        <v>0</v>
      </c>
      <c r="L55" s="197"/>
      <c r="M55" s="197"/>
      <c r="N55" s="197"/>
      <c r="O55" s="197"/>
      <c r="P55" s="197"/>
      <c r="Q55" s="197"/>
    </row>
    <row r="56" spans="1:17" ht="47.25" x14ac:dyDescent="0.25">
      <c r="A56" s="150" t="s">
        <v>140</v>
      </c>
      <c r="B56" s="36" t="s">
        <v>567</v>
      </c>
      <c r="C56" s="274">
        <v>149</v>
      </c>
      <c r="D56" s="274">
        <v>149</v>
      </c>
      <c r="E56" s="274">
        <v>0</v>
      </c>
      <c r="F56" s="274">
        <v>149</v>
      </c>
      <c r="G56" s="274">
        <v>149</v>
      </c>
      <c r="H56" s="274">
        <v>0</v>
      </c>
      <c r="I56" s="84">
        <f t="shared" si="1"/>
        <v>100</v>
      </c>
      <c r="J56" s="84">
        <f t="shared" si="1"/>
        <v>100</v>
      </c>
      <c r="K56" s="84">
        <f t="shared" si="1"/>
        <v>0</v>
      </c>
      <c r="L56" s="197"/>
      <c r="M56" s="197"/>
      <c r="N56" s="197"/>
      <c r="O56" s="197"/>
      <c r="P56" s="197"/>
      <c r="Q56" s="197"/>
    </row>
    <row r="57" spans="1:17" ht="31.5" x14ac:dyDescent="0.25">
      <c r="A57" s="150" t="s">
        <v>568</v>
      </c>
      <c r="B57" s="36" t="s">
        <v>569</v>
      </c>
      <c r="C57" s="274">
        <v>13000</v>
      </c>
      <c r="D57" s="274">
        <v>11700</v>
      </c>
      <c r="E57" s="274">
        <v>1300</v>
      </c>
      <c r="F57" s="274">
        <v>12516.9</v>
      </c>
      <c r="G57" s="274">
        <v>11219</v>
      </c>
      <c r="H57" s="274">
        <v>1297.9000000000001</v>
      </c>
      <c r="I57" s="84">
        <f t="shared" si="1"/>
        <v>96.283846153846156</v>
      </c>
      <c r="J57" s="84">
        <f t="shared" si="1"/>
        <v>95.888888888888886</v>
      </c>
      <c r="K57" s="84">
        <f t="shared" si="1"/>
        <v>99.838461538461544</v>
      </c>
      <c r="L57" s="197"/>
      <c r="M57" s="197"/>
      <c r="N57" s="197"/>
      <c r="O57" s="197"/>
      <c r="P57" s="197"/>
      <c r="Q57" s="197"/>
    </row>
    <row r="58" spans="1:17" ht="31.5" x14ac:dyDescent="0.25">
      <c r="A58" s="150" t="s">
        <v>570</v>
      </c>
      <c r="B58" s="36" t="s">
        <v>571</v>
      </c>
      <c r="C58" s="274">
        <v>43277</v>
      </c>
      <c r="D58" s="274">
        <v>43277</v>
      </c>
      <c r="E58" s="274"/>
      <c r="F58" s="274">
        <v>43206</v>
      </c>
      <c r="G58" s="274">
        <v>43206</v>
      </c>
      <c r="H58" s="274"/>
      <c r="I58" s="84">
        <f t="shared" si="1"/>
        <v>99.835940568893406</v>
      </c>
      <c r="J58" s="84">
        <f t="shared" si="1"/>
        <v>99.835940568893406</v>
      </c>
      <c r="K58" s="84">
        <f t="shared" si="1"/>
        <v>0</v>
      </c>
      <c r="L58" s="197"/>
      <c r="M58" s="197"/>
      <c r="N58" s="197"/>
      <c r="O58" s="197"/>
      <c r="P58" s="197"/>
      <c r="Q58" s="197"/>
    </row>
    <row r="59" spans="1:17" ht="31.5" x14ac:dyDescent="0.25">
      <c r="A59" s="100" t="s">
        <v>31</v>
      </c>
      <c r="B59" s="101" t="s">
        <v>76</v>
      </c>
      <c r="C59" s="272">
        <v>0</v>
      </c>
      <c r="D59" s="272"/>
      <c r="E59" s="272"/>
      <c r="F59" s="272">
        <v>3563988.770759</v>
      </c>
      <c r="G59" s="272">
        <v>1955445.8067010001</v>
      </c>
      <c r="H59" s="272">
        <v>1608542.9640579999</v>
      </c>
      <c r="I59" s="77">
        <f t="shared" si="1"/>
        <v>0</v>
      </c>
      <c r="J59" s="77">
        <f t="shared" si="1"/>
        <v>0</v>
      </c>
      <c r="K59" s="77">
        <f t="shared" si="1"/>
        <v>0</v>
      </c>
      <c r="L59" s="197"/>
      <c r="M59" s="197"/>
      <c r="N59" s="197"/>
      <c r="O59" s="197"/>
      <c r="P59" s="197"/>
      <c r="Q59" s="197"/>
    </row>
    <row r="60" spans="1:17" ht="15.75" x14ac:dyDescent="0.25">
      <c r="A60" s="106" t="s">
        <v>32</v>
      </c>
      <c r="B60" s="107" t="s">
        <v>249</v>
      </c>
      <c r="C60" s="288">
        <v>0</v>
      </c>
      <c r="D60" s="288"/>
      <c r="E60" s="288"/>
      <c r="F60" s="288">
        <v>512961.94411300001</v>
      </c>
      <c r="G60" s="288">
        <v>318370.00949199998</v>
      </c>
      <c r="H60" s="288">
        <v>194591.93462100002</v>
      </c>
      <c r="I60" s="226">
        <f t="shared" si="1"/>
        <v>0</v>
      </c>
      <c r="J60" s="226">
        <f t="shared" si="1"/>
        <v>0</v>
      </c>
      <c r="K60" s="226">
        <f t="shared" si="1"/>
        <v>0</v>
      </c>
      <c r="L60" s="197"/>
      <c r="M60" s="197"/>
      <c r="N60" s="197"/>
      <c r="O60" s="197"/>
      <c r="P60" s="197"/>
      <c r="Q60" s="197"/>
    </row>
  </sheetData>
  <mergeCells count="10">
    <mergeCell ref="A2:K2"/>
    <mergeCell ref="A3:K3"/>
    <mergeCell ref="J4:K4"/>
    <mergeCell ref="A5:A6"/>
    <mergeCell ref="D5:E5"/>
    <mergeCell ref="F5:F6"/>
    <mergeCell ref="G5:H5"/>
    <mergeCell ref="I5:K5"/>
    <mergeCell ref="B5:B6"/>
    <mergeCell ref="C5:C6"/>
  </mergeCells>
  <dataValidations count="3">
    <dataValidation allowBlank="1" showInputMessage="1" showErrorMessage="1" prompt="Chưa bao gồm chi chuyển giao ngân sách _x000a_" sqref="WVO982990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486 JC65486 SY65486 ACU65486 AMQ65486 AWM65486 BGI65486 BQE65486 CAA65486 CJW65486 CTS65486 DDO65486 DNK65486 DXG65486 EHC65486 EQY65486 FAU65486 FKQ65486 FUM65486 GEI65486 GOE65486 GYA65486 HHW65486 HRS65486 IBO65486 ILK65486 IVG65486 JFC65486 JOY65486 JYU65486 KIQ65486 KSM65486 LCI65486 LME65486 LWA65486 MFW65486 MPS65486 MZO65486 NJK65486 NTG65486 ODC65486 OMY65486 OWU65486 PGQ65486 PQM65486 QAI65486 QKE65486 QUA65486 RDW65486 RNS65486 RXO65486 SHK65486 SRG65486 TBC65486 TKY65486 TUU65486 UEQ65486 UOM65486 UYI65486 VIE65486 VSA65486 WBW65486 WLS65486 WVO65486 G131022 JC131022 SY131022 ACU131022 AMQ131022 AWM131022 BGI131022 BQE131022 CAA131022 CJW131022 CTS131022 DDO131022 DNK131022 DXG131022 EHC131022 EQY131022 FAU131022 FKQ131022 FUM131022 GEI131022 GOE131022 GYA131022 HHW131022 HRS131022 IBO131022 ILK131022 IVG131022 JFC131022 JOY131022 JYU131022 KIQ131022 KSM131022 LCI131022 LME131022 LWA131022 MFW131022 MPS131022 MZO131022 NJK131022 NTG131022 ODC131022 OMY131022 OWU131022 PGQ131022 PQM131022 QAI131022 QKE131022 QUA131022 RDW131022 RNS131022 RXO131022 SHK131022 SRG131022 TBC131022 TKY131022 TUU131022 UEQ131022 UOM131022 UYI131022 VIE131022 VSA131022 WBW131022 WLS131022 WVO131022 G196558 JC196558 SY196558 ACU196558 AMQ196558 AWM196558 BGI196558 BQE196558 CAA196558 CJW196558 CTS196558 DDO196558 DNK196558 DXG196558 EHC196558 EQY196558 FAU196558 FKQ196558 FUM196558 GEI196558 GOE196558 GYA196558 HHW196558 HRS196558 IBO196558 ILK196558 IVG196558 JFC196558 JOY196558 JYU196558 KIQ196558 KSM196558 LCI196558 LME196558 LWA196558 MFW196558 MPS196558 MZO196558 NJK196558 NTG196558 ODC196558 OMY196558 OWU196558 PGQ196558 PQM196558 QAI196558 QKE196558 QUA196558 RDW196558 RNS196558 RXO196558 SHK196558 SRG196558 TBC196558 TKY196558 TUU196558 UEQ196558 UOM196558 UYI196558 VIE196558 VSA196558 WBW196558 WLS196558 WVO196558 G262094 JC262094 SY262094 ACU262094 AMQ262094 AWM262094 BGI262094 BQE262094 CAA262094 CJW262094 CTS262094 DDO262094 DNK262094 DXG262094 EHC262094 EQY262094 FAU262094 FKQ262094 FUM262094 GEI262094 GOE262094 GYA262094 HHW262094 HRS262094 IBO262094 ILK262094 IVG262094 JFC262094 JOY262094 JYU262094 KIQ262094 KSM262094 LCI262094 LME262094 LWA262094 MFW262094 MPS262094 MZO262094 NJK262094 NTG262094 ODC262094 OMY262094 OWU262094 PGQ262094 PQM262094 QAI262094 QKE262094 QUA262094 RDW262094 RNS262094 RXO262094 SHK262094 SRG262094 TBC262094 TKY262094 TUU262094 UEQ262094 UOM262094 UYI262094 VIE262094 VSA262094 WBW262094 WLS262094 WVO262094 G327630 JC327630 SY327630 ACU327630 AMQ327630 AWM327630 BGI327630 BQE327630 CAA327630 CJW327630 CTS327630 DDO327630 DNK327630 DXG327630 EHC327630 EQY327630 FAU327630 FKQ327630 FUM327630 GEI327630 GOE327630 GYA327630 HHW327630 HRS327630 IBO327630 ILK327630 IVG327630 JFC327630 JOY327630 JYU327630 KIQ327630 KSM327630 LCI327630 LME327630 LWA327630 MFW327630 MPS327630 MZO327630 NJK327630 NTG327630 ODC327630 OMY327630 OWU327630 PGQ327630 PQM327630 QAI327630 QKE327630 QUA327630 RDW327630 RNS327630 RXO327630 SHK327630 SRG327630 TBC327630 TKY327630 TUU327630 UEQ327630 UOM327630 UYI327630 VIE327630 VSA327630 WBW327630 WLS327630 WVO327630 G393166 JC393166 SY393166 ACU393166 AMQ393166 AWM393166 BGI393166 BQE393166 CAA393166 CJW393166 CTS393166 DDO393166 DNK393166 DXG393166 EHC393166 EQY393166 FAU393166 FKQ393166 FUM393166 GEI393166 GOE393166 GYA393166 HHW393166 HRS393166 IBO393166 ILK393166 IVG393166 JFC393166 JOY393166 JYU393166 KIQ393166 KSM393166 LCI393166 LME393166 LWA393166 MFW393166 MPS393166 MZO393166 NJK393166 NTG393166 ODC393166 OMY393166 OWU393166 PGQ393166 PQM393166 QAI393166 QKE393166 QUA393166 RDW393166 RNS393166 RXO393166 SHK393166 SRG393166 TBC393166 TKY393166 TUU393166 UEQ393166 UOM393166 UYI393166 VIE393166 VSA393166 WBW393166 WLS393166 WVO393166 G458702 JC458702 SY458702 ACU458702 AMQ458702 AWM458702 BGI458702 BQE458702 CAA458702 CJW458702 CTS458702 DDO458702 DNK458702 DXG458702 EHC458702 EQY458702 FAU458702 FKQ458702 FUM458702 GEI458702 GOE458702 GYA458702 HHW458702 HRS458702 IBO458702 ILK458702 IVG458702 JFC458702 JOY458702 JYU458702 KIQ458702 KSM458702 LCI458702 LME458702 LWA458702 MFW458702 MPS458702 MZO458702 NJK458702 NTG458702 ODC458702 OMY458702 OWU458702 PGQ458702 PQM458702 QAI458702 QKE458702 QUA458702 RDW458702 RNS458702 RXO458702 SHK458702 SRG458702 TBC458702 TKY458702 TUU458702 UEQ458702 UOM458702 UYI458702 VIE458702 VSA458702 WBW458702 WLS458702 WVO458702 G524238 JC524238 SY524238 ACU524238 AMQ524238 AWM524238 BGI524238 BQE524238 CAA524238 CJW524238 CTS524238 DDO524238 DNK524238 DXG524238 EHC524238 EQY524238 FAU524238 FKQ524238 FUM524238 GEI524238 GOE524238 GYA524238 HHW524238 HRS524238 IBO524238 ILK524238 IVG524238 JFC524238 JOY524238 JYU524238 KIQ524238 KSM524238 LCI524238 LME524238 LWA524238 MFW524238 MPS524238 MZO524238 NJK524238 NTG524238 ODC524238 OMY524238 OWU524238 PGQ524238 PQM524238 QAI524238 QKE524238 QUA524238 RDW524238 RNS524238 RXO524238 SHK524238 SRG524238 TBC524238 TKY524238 TUU524238 UEQ524238 UOM524238 UYI524238 VIE524238 VSA524238 WBW524238 WLS524238 WVO524238 G589774 JC589774 SY589774 ACU589774 AMQ589774 AWM589774 BGI589774 BQE589774 CAA589774 CJW589774 CTS589774 DDO589774 DNK589774 DXG589774 EHC589774 EQY589774 FAU589774 FKQ589774 FUM589774 GEI589774 GOE589774 GYA589774 HHW589774 HRS589774 IBO589774 ILK589774 IVG589774 JFC589774 JOY589774 JYU589774 KIQ589774 KSM589774 LCI589774 LME589774 LWA589774 MFW589774 MPS589774 MZO589774 NJK589774 NTG589774 ODC589774 OMY589774 OWU589774 PGQ589774 PQM589774 QAI589774 QKE589774 QUA589774 RDW589774 RNS589774 RXO589774 SHK589774 SRG589774 TBC589774 TKY589774 TUU589774 UEQ589774 UOM589774 UYI589774 VIE589774 VSA589774 WBW589774 WLS589774 WVO589774 G655310 JC655310 SY655310 ACU655310 AMQ655310 AWM655310 BGI655310 BQE655310 CAA655310 CJW655310 CTS655310 DDO655310 DNK655310 DXG655310 EHC655310 EQY655310 FAU655310 FKQ655310 FUM655310 GEI655310 GOE655310 GYA655310 HHW655310 HRS655310 IBO655310 ILK655310 IVG655310 JFC655310 JOY655310 JYU655310 KIQ655310 KSM655310 LCI655310 LME655310 LWA655310 MFW655310 MPS655310 MZO655310 NJK655310 NTG655310 ODC655310 OMY655310 OWU655310 PGQ655310 PQM655310 QAI655310 QKE655310 QUA655310 RDW655310 RNS655310 RXO655310 SHK655310 SRG655310 TBC655310 TKY655310 TUU655310 UEQ655310 UOM655310 UYI655310 VIE655310 VSA655310 WBW655310 WLS655310 WVO655310 G720846 JC720846 SY720846 ACU720846 AMQ720846 AWM720846 BGI720846 BQE720846 CAA720846 CJW720846 CTS720846 DDO720846 DNK720846 DXG720846 EHC720846 EQY720846 FAU720846 FKQ720846 FUM720846 GEI720846 GOE720846 GYA720846 HHW720846 HRS720846 IBO720846 ILK720846 IVG720846 JFC720846 JOY720846 JYU720846 KIQ720846 KSM720846 LCI720846 LME720846 LWA720846 MFW720846 MPS720846 MZO720846 NJK720846 NTG720846 ODC720846 OMY720846 OWU720846 PGQ720846 PQM720846 QAI720846 QKE720846 QUA720846 RDW720846 RNS720846 RXO720846 SHK720846 SRG720846 TBC720846 TKY720846 TUU720846 UEQ720846 UOM720846 UYI720846 VIE720846 VSA720846 WBW720846 WLS720846 WVO720846 G786382 JC786382 SY786382 ACU786382 AMQ786382 AWM786382 BGI786382 BQE786382 CAA786382 CJW786382 CTS786382 DDO786382 DNK786382 DXG786382 EHC786382 EQY786382 FAU786382 FKQ786382 FUM786382 GEI786382 GOE786382 GYA786382 HHW786382 HRS786382 IBO786382 ILK786382 IVG786382 JFC786382 JOY786382 JYU786382 KIQ786382 KSM786382 LCI786382 LME786382 LWA786382 MFW786382 MPS786382 MZO786382 NJK786382 NTG786382 ODC786382 OMY786382 OWU786382 PGQ786382 PQM786382 QAI786382 QKE786382 QUA786382 RDW786382 RNS786382 RXO786382 SHK786382 SRG786382 TBC786382 TKY786382 TUU786382 UEQ786382 UOM786382 UYI786382 VIE786382 VSA786382 WBW786382 WLS786382 WVO786382 G851918 JC851918 SY851918 ACU851918 AMQ851918 AWM851918 BGI851918 BQE851918 CAA851918 CJW851918 CTS851918 DDO851918 DNK851918 DXG851918 EHC851918 EQY851918 FAU851918 FKQ851918 FUM851918 GEI851918 GOE851918 GYA851918 HHW851918 HRS851918 IBO851918 ILK851918 IVG851918 JFC851918 JOY851918 JYU851918 KIQ851918 KSM851918 LCI851918 LME851918 LWA851918 MFW851918 MPS851918 MZO851918 NJK851918 NTG851918 ODC851918 OMY851918 OWU851918 PGQ851918 PQM851918 QAI851918 QKE851918 QUA851918 RDW851918 RNS851918 RXO851918 SHK851918 SRG851918 TBC851918 TKY851918 TUU851918 UEQ851918 UOM851918 UYI851918 VIE851918 VSA851918 WBW851918 WLS851918 WVO851918 G917454 JC917454 SY917454 ACU917454 AMQ917454 AWM917454 BGI917454 BQE917454 CAA917454 CJW917454 CTS917454 DDO917454 DNK917454 DXG917454 EHC917454 EQY917454 FAU917454 FKQ917454 FUM917454 GEI917454 GOE917454 GYA917454 HHW917454 HRS917454 IBO917454 ILK917454 IVG917454 JFC917454 JOY917454 JYU917454 KIQ917454 KSM917454 LCI917454 LME917454 LWA917454 MFW917454 MPS917454 MZO917454 NJK917454 NTG917454 ODC917454 OMY917454 OWU917454 PGQ917454 PQM917454 QAI917454 QKE917454 QUA917454 RDW917454 RNS917454 RXO917454 SHK917454 SRG917454 TBC917454 TKY917454 TUU917454 UEQ917454 UOM917454 UYI917454 VIE917454 VSA917454 WBW917454 WLS917454 WVO917454 G982990 JC982990 SY982990 ACU982990 AMQ982990 AWM982990 BGI982990 BQE982990 CAA982990 CJW982990 CTS982990 DDO982990 DNK982990 DXG982990 EHC982990 EQY982990 FAU982990 FKQ982990 FUM982990 GEI982990 GOE982990 GYA982990 HHW982990 HRS982990 IBO982990 ILK982990 IVG982990 JFC982990 JOY982990 JYU982990 KIQ982990 KSM982990 LCI982990 LME982990 LWA982990 MFW982990 MPS982990 MZO982990 NJK982990 NTG982990 ODC982990 OMY982990 OWU982990 PGQ982990 PQM982990 QAI982990 QKE982990 QUA982990 RDW982990 RNS982990 RXO982990 SHK982990 SRG982990 TBC982990 TKY982990 TUU982990 UEQ982990 UOM982990 UYI982990 VIE982990 VSA982990 WBW982990 WLS982990 G8" xr:uid="{00000000-0002-0000-0200-000000000000}"/>
    <dataValidation allowBlank="1" showInputMessage="1" showErrorMessage="1" prompt="Chưa bao gồm chi chuyển giao ngân sách " sqref="WVP982990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486 JB65486 SX65486 ACT65486 AMP65486 AWL65486 BGH65486 BQD65486 BZZ65486 CJV65486 CTR65486 DDN65486 DNJ65486 DXF65486 EHB65486 EQX65486 FAT65486 FKP65486 FUL65486 GEH65486 GOD65486 GXZ65486 HHV65486 HRR65486 IBN65486 ILJ65486 IVF65486 JFB65486 JOX65486 JYT65486 KIP65486 KSL65486 LCH65486 LMD65486 LVZ65486 MFV65486 MPR65486 MZN65486 NJJ65486 NTF65486 ODB65486 OMX65486 OWT65486 PGP65486 PQL65486 QAH65486 QKD65486 QTZ65486 RDV65486 RNR65486 RXN65486 SHJ65486 SRF65486 TBB65486 TKX65486 TUT65486 UEP65486 UOL65486 UYH65486 VID65486 VRZ65486 WBV65486 WLR65486 WVN65486 F131022 JB131022 SX131022 ACT131022 AMP131022 AWL131022 BGH131022 BQD131022 BZZ131022 CJV131022 CTR131022 DDN131022 DNJ131022 DXF131022 EHB131022 EQX131022 FAT131022 FKP131022 FUL131022 GEH131022 GOD131022 GXZ131022 HHV131022 HRR131022 IBN131022 ILJ131022 IVF131022 JFB131022 JOX131022 JYT131022 KIP131022 KSL131022 LCH131022 LMD131022 LVZ131022 MFV131022 MPR131022 MZN131022 NJJ131022 NTF131022 ODB131022 OMX131022 OWT131022 PGP131022 PQL131022 QAH131022 QKD131022 QTZ131022 RDV131022 RNR131022 RXN131022 SHJ131022 SRF131022 TBB131022 TKX131022 TUT131022 UEP131022 UOL131022 UYH131022 VID131022 VRZ131022 WBV131022 WLR131022 WVN131022 F196558 JB196558 SX196558 ACT196558 AMP196558 AWL196558 BGH196558 BQD196558 BZZ196558 CJV196558 CTR196558 DDN196558 DNJ196558 DXF196558 EHB196558 EQX196558 FAT196558 FKP196558 FUL196558 GEH196558 GOD196558 GXZ196558 HHV196558 HRR196558 IBN196558 ILJ196558 IVF196558 JFB196558 JOX196558 JYT196558 KIP196558 KSL196558 LCH196558 LMD196558 LVZ196558 MFV196558 MPR196558 MZN196558 NJJ196558 NTF196558 ODB196558 OMX196558 OWT196558 PGP196558 PQL196558 QAH196558 QKD196558 QTZ196558 RDV196558 RNR196558 RXN196558 SHJ196558 SRF196558 TBB196558 TKX196558 TUT196558 UEP196558 UOL196558 UYH196558 VID196558 VRZ196558 WBV196558 WLR196558 WVN196558 F262094 JB262094 SX262094 ACT262094 AMP262094 AWL262094 BGH262094 BQD262094 BZZ262094 CJV262094 CTR262094 DDN262094 DNJ262094 DXF262094 EHB262094 EQX262094 FAT262094 FKP262094 FUL262094 GEH262094 GOD262094 GXZ262094 HHV262094 HRR262094 IBN262094 ILJ262094 IVF262094 JFB262094 JOX262094 JYT262094 KIP262094 KSL262094 LCH262094 LMD262094 LVZ262094 MFV262094 MPR262094 MZN262094 NJJ262094 NTF262094 ODB262094 OMX262094 OWT262094 PGP262094 PQL262094 QAH262094 QKD262094 QTZ262094 RDV262094 RNR262094 RXN262094 SHJ262094 SRF262094 TBB262094 TKX262094 TUT262094 UEP262094 UOL262094 UYH262094 VID262094 VRZ262094 WBV262094 WLR262094 WVN262094 F327630 JB327630 SX327630 ACT327630 AMP327630 AWL327630 BGH327630 BQD327630 BZZ327630 CJV327630 CTR327630 DDN327630 DNJ327630 DXF327630 EHB327630 EQX327630 FAT327630 FKP327630 FUL327630 GEH327630 GOD327630 GXZ327630 HHV327630 HRR327630 IBN327630 ILJ327630 IVF327630 JFB327630 JOX327630 JYT327630 KIP327630 KSL327630 LCH327630 LMD327630 LVZ327630 MFV327630 MPR327630 MZN327630 NJJ327630 NTF327630 ODB327630 OMX327630 OWT327630 PGP327630 PQL327630 QAH327630 QKD327630 QTZ327630 RDV327630 RNR327630 RXN327630 SHJ327630 SRF327630 TBB327630 TKX327630 TUT327630 UEP327630 UOL327630 UYH327630 VID327630 VRZ327630 WBV327630 WLR327630 WVN327630 F393166 JB393166 SX393166 ACT393166 AMP393166 AWL393166 BGH393166 BQD393166 BZZ393166 CJV393166 CTR393166 DDN393166 DNJ393166 DXF393166 EHB393166 EQX393166 FAT393166 FKP393166 FUL393166 GEH393166 GOD393166 GXZ393166 HHV393166 HRR393166 IBN393166 ILJ393166 IVF393166 JFB393166 JOX393166 JYT393166 KIP393166 KSL393166 LCH393166 LMD393166 LVZ393166 MFV393166 MPR393166 MZN393166 NJJ393166 NTF393166 ODB393166 OMX393166 OWT393166 PGP393166 PQL393166 QAH393166 QKD393166 QTZ393166 RDV393166 RNR393166 RXN393166 SHJ393166 SRF393166 TBB393166 TKX393166 TUT393166 UEP393166 UOL393166 UYH393166 VID393166 VRZ393166 WBV393166 WLR393166 WVN393166 F458702 JB458702 SX458702 ACT458702 AMP458702 AWL458702 BGH458702 BQD458702 BZZ458702 CJV458702 CTR458702 DDN458702 DNJ458702 DXF458702 EHB458702 EQX458702 FAT458702 FKP458702 FUL458702 GEH458702 GOD458702 GXZ458702 HHV458702 HRR458702 IBN458702 ILJ458702 IVF458702 JFB458702 JOX458702 JYT458702 KIP458702 KSL458702 LCH458702 LMD458702 LVZ458702 MFV458702 MPR458702 MZN458702 NJJ458702 NTF458702 ODB458702 OMX458702 OWT458702 PGP458702 PQL458702 QAH458702 QKD458702 QTZ458702 RDV458702 RNR458702 RXN458702 SHJ458702 SRF458702 TBB458702 TKX458702 TUT458702 UEP458702 UOL458702 UYH458702 VID458702 VRZ458702 WBV458702 WLR458702 WVN458702 F524238 JB524238 SX524238 ACT524238 AMP524238 AWL524238 BGH524238 BQD524238 BZZ524238 CJV524238 CTR524238 DDN524238 DNJ524238 DXF524238 EHB524238 EQX524238 FAT524238 FKP524238 FUL524238 GEH524238 GOD524238 GXZ524238 HHV524238 HRR524238 IBN524238 ILJ524238 IVF524238 JFB524238 JOX524238 JYT524238 KIP524238 KSL524238 LCH524238 LMD524238 LVZ524238 MFV524238 MPR524238 MZN524238 NJJ524238 NTF524238 ODB524238 OMX524238 OWT524238 PGP524238 PQL524238 QAH524238 QKD524238 QTZ524238 RDV524238 RNR524238 RXN524238 SHJ524238 SRF524238 TBB524238 TKX524238 TUT524238 UEP524238 UOL524238 UYH524238 VID524238 VRZ524238 WBV524238 WLR524238 WVN524238 F589774 JB589774 SX589774 ACT589774 AMP589774 AWL589774 BGH589774 BQD589774 BZZ589774 CJV589774 CTR589774 DDN589774 DNJ589774 DXF589774 EHB589774 EQX589774 FAT589774 FKP589774 FUL589774 GEH589774 GOD589774 GXZ589774 HHV589774 HRR589774 IBN589774 ILJ589774 IVF589774 JFB589774 JOX589774 JYT589774 KIP589774 KSL589774 LCH589774 LMD589774 LVZ589774 MFV589774 MPR589774 MZN589774 NJJ589774 NTF589774 ODB589774 OMX589774 OWT589774 PGP589774 PQL589774 QAH589774 QKD589774 QTZ589774 RDV589774 RNR589774 RXN589774 SHJ589774 SRF589774 TBB589774 TKX589774 TUT589774 UEP589774 UOL589774 UYH589774 VID589774 VRZ589774 WBV589774 WLR589774 WVN589774 F655310 JB655310 SX655310 ACT655310 AMP655310 AWL655310 BGH655310 BQD655310 BZZ655310 CJV655310 CTR655310 DDN655310 DNJ655310 DXF655310 EHB655310 EQX655310 FAT655310 FKP655310 FUL655310 GEH655310 GOD655310 GXZ655310 HHV655310 HRR655310 IBN655310 ILJ655310 IVF655310 JFB655310 JOX655310 JYT655310 KIP655310 KSL655310 LCH655310 LMD655310 LVZ655310 MFV655310 MPR655310 MZN655310 NJJ655310 NTF655310 ODB655310 OMX655310 OWT655310 PGP655310 PQL655310 QAH655310 QKD655310 QTZ655310 RDV655310 RNR655310 RXN655310 SHJ655310 SRF655310 TBB655310 TKX655310 TUT655310 UEP655310 UOL655310 UYH655310 VID655310 VRZ655310 WBV655310 WLR655310 WVN655310 F720846 JB720846 SX720846 ACT720846 AMP720846 AWL720846 BGH720846 BQD720846 BZZ720846 CJV720846 CTR720846 DDN720846 DNJ720846 DXF720846 EHB720846 EQX720846 FAT720846 FKP720846 FUL720846 GEH720846 GOD720846 GXZ720846 HHV720846 HRR720846 IBN720846 ILJ720846 IVF720846 JFB720846 JOX720846 JYT720846 KIP720846 KSL720846 LCH720846 LMD720846 LVZ720846 MFV720846 MPR720846 MZN720846 NJJ720846 NTF720846 ODB720846 OMX720846 OWT720846 PGP720846 PQL720846 QAH720846 QKD720846 QTZ720846 RDV720846 RNR720846 RXN720846 SHJ720846 SRF720846 TBB720846 TKX720846 TUT720846 UEP720846 UOL720846 UYH720846 VID720846 VRZ720846 WBV720846 WLR720846 WVN720846 F786382 JB786382 SX786382 ACT786382 AMP786382 AWL786382 BGH786382 BQD786382 BZZ786382 CJV786382 CTR786382 DDN786382 DNJ786382 DXF786382 EHB786382 EQX786382 FAT786382 FKP786382 FUL786382 GEH786382 GOD786382 GXZ786382 HHV786382 HRR786382 IBN786382 ILJ786382 IVF786382 JFB786382 JOX786382 JYT786382 KIP786382 KSL786382 LCH786382 LMD786382 LVZ786382 MFV786382 MPR786382 MZN786382 NJJ786382 NTF786382 ODB786382 OMX786382 OWT786382 PGP786382 PQL786382 QAH786382 QKD786382 QTZ786382 RDV786382 RNR786382 RXN786382 SHJ786382 SRF786382 TBB786382 TKX786382 TUT786382 UEP786382 UOL786382 UYH786382 VID786382 VRZ786382 WBV786382 WLR786382 WVN786382 F851918 JB851918 SX851918 ACT851918 AMP851918 AWL851918 BGH851918 BQD851918 BZZ851918 CJV851918 CTR851918 DDN851918 DNJ851918 DXF851918 EHB851918 EQX851918 FAT851918 FKP851918 FUL851918 GEH851918 GOD851918 GXZ851918 HHV851918 HRR851918 IBN851918 ILJ851918 IVF851918 JFB851918 JOX851918 JYT851918 KIP851918 KSL851918 LCH851918 LMD851918 LVZ851918 MFV851918 MPR851918 MZN851918 NJJ851918 NTF851918 ODB851918 OMX851918 OWT851918 PGP851918 PQL851918 QAH851918 QKD851918 QTZ851918 RDV851918 RNR851918 RXN851918 SHJ851918 SRF851918 TBB851918 TKX851918 TUT851918 UEP851918 UOL851918 UYH851918 VID851918 VRZ851918 WBV851918 WLR851918 WVN851918 F917454 JB917454 SX917454 ACT917454 AMP917454 AWL917454 BGH917454 BQD917454 BZZ917454 CJV917454 CTR917454 DDN917454 DNJ917454 DXF917454 EHB917454 EQX917454 FAT917454 FKP917454 FUL917454 GEH917454 GOD917454 GXZ917454 HHV917454 HRR917454 IBN917454 ILJ917454 IVF917454 JFB917454 JOX917454 JYT917454 KIP917454 KSL917454 LCH917454 LMD917454 LVZ917454 MFV917454 MPR917454 MZN917454 NJJ917454 NTF917454 ODB917454 OMX917454 OWT917454 PGP917454 PQL917454 QAH917454 QKD917454 QTZ917454 RDV917454 RNR917454 RXN917454 SHJ917454 SRF917454 TBB917454 TKX917454 TUT917454 UEP917454 UOL917454 UYH917454 VID917454 VRZ917454 WBV917454 WLR917454 WVN917454 F982990 JB982990 SX982990 ACT982990 AMP982990 AWL982990 BGH982990 BQD982990 BZZ982990 CJV982990 CTR982990 DDN982990 DNJ982990 DXF982990 EHB982990 EQX982990 FAT982990 FKP982990 FUL982990 GEH982990 GOD982990 GXZ982990 HHV982990 HRR982990 IBN982990 ILJ982990 IVF982990 JFB982990 JOX982990 JYT982990 KIP982990 KSL982990 LCH982990 LMD982990 LVZ982990 MFV982990 MPR982990 MZN982990 NJJ982990 NTF982990 ODB982990 OMX982990 OWT982990 PGP982990 PQL982990 QAH982990 QKD982990 QTZ982990 RDV982990 RNR982990 RXN982990 SHJ982990 SRF982990 TBB982990 TKX982990 TUT982990 UEP982990 UOL982990 UYH982990 VID982990 VRZ982990 WBV982990 WLR982990 WVN982990 WLT982990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486 JD65486 SZ65486 ACV65486 AMR65486 AWN65486 BGJ65486 BQF65486 CAB65486 CJX65486 CTT65486 DDP65486 DNL65486 DXH65486 EHD65486 EQZ65486 FAV65486 FKR65486 FUN65486 GEJ65486 GOF65486 GYB65486 HHX65486 HRT65486 IBP65486 ILL65486 IVH65486 JFD65486 JOZ65486 JYV65486 KIR65486 KSN65486 LCJ65486 LMF65486 LWB65486 MFX65486 MPT65486 MZP65486 NJL65486 NTH65486 ODD65486 OMZ65486 OWV65486 PGR65486 PQN65486 QAJ65486 QKF65486 QUB65486 RDX65486 RNT65486 RXP65486 SHL65486 SRH65486 TBD65486 TKZ65486 TUV65486 UER65486 UON65486 UYJ65486 VIF65486 VSB65486 WBX65486 WLT65486 WVP65486 H131022 JD131022 SZ131022 ACV131022 AMR131022 AWN131022 BGJ131022 BQF131022 CAB131022 CJX131022 CTT131022 DDP131022 DNL131022 DXH131022 EHD131022 EQZ131022 FAV131022 FKR131022 FUN131022 GEJ131022 GOF131022 GYB131022 HHX131022 HRT131022 IBP131022 ILL131022 IVH131022 JFD131022 JOZ131022 JYV131022 KIR131022 KSN131022 LCJ131022 LMF131022 LWB131022 MFX131022 MPT131022 MZP131022 NJL131022 NTH131022 ODD131022 OMZ131022 OWV131022 PGR131022 PQN131022 QAJ131022 QKF131022 QUB131022 RDX131022 RNT131022 RXP131022 SHL131022 SRH131022 TBD131022 TKZ131022 TUV131022 UER131022 UON131022 UYJ131022 VIF131022 VSB131022 WBX131022 WLT131022 WVP131022 H196558 JD196558 SZ196558 ACV196558 AMR196558 AWN196558 BGJ196558 BQF196558 CAB196558 CJX196558 CTT196558 DDP196558 DNL196558 DXH196558 EHD196558 EQZ196558 FAV196558 FKR196558 FUN196558 GEJ196558 GOF196558 GYB196558 HHX196558 HRT196558 IBP196558 ILL196558 IVH196558 JFD196558 JOZ196558 JYV196558 KIR196558 KSN196558 LCJ196558 LMF196558 LWB196558 MFX196558 MPT196558 MZP196558 NJL196558 NTH196558 ODD196558 OMZ196558 OWV196558 PGR196558 PQN196558 QAJ196558 QKF196558 QUB196558 RDX196558 RNT196558 RXP196558 SHL196558 SRH196558 TBD196558 TKZ196558 TUV196558 UER196558 UON196558 UYJ196558 VIF196558 VSB196558 WBX196558 WLT196558 WVP196558 H262094 JD262094 SZ262094 ACV262094 AMR262094 AWN262094 BGJ262094 BQF262094 CAB262094 CJX262094 CTT262094 DDP262094 DNL262094 DXH262094 EHD262094 EQZ262094 FAV262094 FKR262094 FUN262094 GEJ262094 GOF262094 GYB262094 HHX262094 HRT262094 IBP262094 ILL262094 IVH262094 JFD262094 JOZ262094 JYV262094 KIR262094 KSN262094 LCJ262094 LMF262094 LWB262094 MFX262094 MPT262094 MZP262094 NJL262094 NTH262094 ODD262094 OMZ262094 OWV262094 PGR262094 PQN262094 QAJ262094 QKF262094 QUB262094 RDX262094 RNT262094 RXP262094 SHL262094 SRH262094 TBD262094 TKZ262094 TUV262094 UER262094 UON262094 UYJ262094 VIF262094 VSB262094 WBX262094 WLT262094 WVP262094 H327630 JD327630 SZ327630 ACV327630 AMR327630 AWN327630 BGJ327630 BQF327630 CAB327630 CJX327630 CTT327630 DDP327630 DNL327630 DXH327630 EHD327630 EQZ327630 FAV327630 FKR327630 FUN327630 GEJ327630 GOF327630 GYB327630 HHX327630 HRT327630 IBP327630 ILL327630 IVH327630 JFD327630 JOZ327630 JYV327630 KIR327630 KSN327630 LCJ327630 LMF327630 LWB327630 MFX327630 MPT327630 MZP327630 NJL327630 NTH327630 ODD327630 OMZ327630 OWV327630 PGR327630 PQN327630 QAJ327630 QKF327630 QUB327630 RDX327630 RNT327630 RXP327630 SHL327630 SRH327630 TBD327630 TKZ327630 TUV327630 UER327630 UON327630 UYJ327630 VIF327630 VSB327630 WBX327630 WLT327630 WVP327630 H393166 JD393166 SZ393166 ACV393166 AMR393166 AWN393166 BGJ393166 BQF393166 CAB393166 CJX393166 CTT393166 DDP393166 DNL393166 DXH393166 EHD393166 EQZ393166 FAV393166 FKR393166 FUN393166 GEJ393166 GOF393166 GYB393166 HHX393166 HRT393166 IBP393166 ILL393166 IVH393166 JFD393166 JOZ393166 JYV393166 KIR393166 KSN393166 LCJ393166 LMF393166 LWB393166 MFX393166 MPT393166 MZP393166 NJL393166 NTH393166 ODD393166 OMZ393166 OWV393166 PGR393166 PQN393166 QAJ393166 QKF393166 QUB393166 RDX393166 RNT393166 RXP393166 SHL393166 SRH393166 TBD393166 TKZ393166 TUV393166 UER393166 UON393166 UYJ393166 VIF393166 VSB393166 WBX393166 WLT393166 WVP393166 H458702 JD458702 SZ458702 ACV458702 AMR458702 AWN458702 BGJ458702 BQF458702 CAB458702 CJX458702 CTT458702 DDP458702 DNL458702 DXH458702 EHD458702 EQZ458702 FAV458702 FKR458702 FUN458702 GEJ458702 GOF458702 GYB458702 HHX458702 HRT458702 IBP458702 ILL458702 IVH458702 JFD458702 JOZ458702 JYV458702 KIR458702 KSN458702 LCJ458702 LMF458702 LWB458702 MFX458702 MPT458702 MZP458702 NJL458702 NTH458702 ODD458702 OMZ458702 OWV458702 PGR458702 PQN458702 QAJ458702 QKF458702 QUB458702 RDX458702 RNT458702 RXP458702 SHL458702 SRH458702 TBD458702 TKZ458702 TUV458702 UER458702 UON458702 UYJ458702 VIF458702 VSB458702 WBX458702 WLT458702 WVP458702 H524238 JD524238 SZ524238 ACV524238 AMR524238 AWN524238 BGJ524238 BQF524238 CAB524238 CJX524238 CTT524238 DDP524238 DNL524238 DXH524238 EHD524238 EQZ524238 FAV524238 FKR524238 FUN524238 GEJ524238 GOF524238 GYB524238 HHX524238 HRT524238 IBP524238 ILL524238 IVH524238 JFD524238 JOZ524238 JYV524238 KIR524238 KSN524238 LCJ524238 LMF524238 LWB524238 MFX524238 MPT524238 MZP524238 NJL524238 NTH524238 ODD524238 OMZ524238 OWV524238 PGR524238 PQN524238 QAJ524238 QKF524238 QUB524238 RDX524238 RNT524238 RXP524238 SHL524238 SRH524238 TBD524238 TKZ524238 TUV524238 UER524238 UON524238 UYJ524238 VIF524238 VSB524238 WBX524238 WLT524238 WVP524238 H589774 JD589774 SZ589774 ACV589774 AMR589774 AWN589774 BGJ589774 BQF589774 CAB589774 CJX589774 CTT589774 DDP589774 DNL589774 DXH589774 EHD589774 EQZ589774 FAV589774 FKR589774 FUN589774 GEJ589774 GOF589774 GYB589774 HHX589774 HRT589774 IBP589774 ILL589774 IVH589774 JFD589774 JOZ589774 JYV589774 KIR589774 KSN589774 LCJ589774 LMF589774 LWB589774 MFX589774 MPT589774 MZP589774 NJL589774 NTH589774 ODD589774 OMZ589774 OWV589774 PGR589774 PQN589774 QAJ589774 QKF589774 QUB589774 RDX589774 RNT589774 RXP589774 SHL589774 SRH589774 TBD589774 TKZ589774 TUV589774 UER589774 UON589774 UYJ589774 VIF589774 VSB589774 WBX589774 WLT589774 WVP589774 H655310 JD655310 SZ655310 ACV655310 AMR655310 AWN655310 BGJ655310 BQF655310 CAB655310 CJX655310 CTT655310 DDP655310 DNL655310 DXH655310 EHD655310 EQZ655310 FAV655310 FKR655310 FUN655310 GEJ655310 GOF655310 GYB655310 HHX655310 HRT655310 IBP655310 ILL655310 IVH655310 JFD655310 JOZ655310 JYV655310 KIR655310 KSN655310 LCJ655310 LMF655310 LWB655310 MFX655310 MPT655310 MZP655310 NJL655310 NTH655310 ODD655310 OMZ655310 OWV655310 PGR655310 PQN655310 QAJ655310 QKF655310 QUB655310 RDX655310 RNT655310 RXP655310 SHL655310 SRH655310 TBD655310 TKZ655310 TUV655310 UER655310 UON655310 UYJ655310 VIF655310 VSB655310 WBX655310 WLT655310 WVP655310 H720846 JD720846 SZ720846 ACV720846 AMR720846 AWN720846 BGJ720846 BQF720846 CAB720846 CJX720846 CTT720846 DDP720846 DNL720846 DXH720846 EHD720846 EQZ720846 FAV720846 FKR720846 FUN720846 GEJ720846 GOF720846 GYB720846 HHX720846 HRT720846 IBP720846 ILL720846 IVH720846 JFD720846 JOZ720846 JYV720846 KIR720846 KSN720846 LCJ720846 LMF720846 LWB720846 MFX720846 MPT720846 MZP720846 NJL720846 NTH720846 ODD720846 OMZ720846 OWV720846 PGR720846 PQN720846 QAJ720846 QKF720846 QUB720846 RDX720846 RNT720846 RXP720846 SHL720846 SRH720846 TBD720846 TKZ720846 TUV720846 UER720846 UON720846 UYJ720846 VIF720846 VSB720846 WBX720846 WLT720846 WVP720846 H786382 JD786382 SZ786382 ACV786382 AMR786382 AWN786382 BGJ786382 BQF786382 CAB786382 CJX786382 CTT786382 DDP786382 DNL786382 DXH786382 EHD786382 EQZ786382 FAV786382 FKR786382 FUN786382 GEJ786382 GOF786382 GYB786382 HHX786382 HRT786382 IBP786382 ILL786382 IVH786382 JFD786382 JOZ786382 JYV786382 KIR786382 KSN786382 LCJ786382 LMF786382 LWB786382 MFX786382 MPT786382 MZP786382 NJL786382 NTH786382 ODD786382 OMZ786382 OWV786382 PGR786382 PQN786382 QAJ786382 QKF786382 QUB786382 RDX786382 RNT786382 RXP786382 SHL786382 SRH786382 TBD786382 TKZ786382 TUV786382 UER786382 UON786382 UYJ786382 VIF786382 VSB786382 WBX786382 WLT786382 WVP786382 H851918 JD851918 SZ851918 ACV851918 AMR851918 AWN851918 BGJ851918 BQF851918 CAB851918 CJX851918 CTT851918 DDP851918 DNL851918 DXH851918 EHD851918 EQZ851918 FAV851918 FKR851918 FUN851918 GEJ851918 GOF851918 GYB851918 HHX851918 HRT851918 IBP851918 ILL851918 IVH851918 JFD851918 JOZ851918 JYV851918 KIR851918 KSN851918 LCJ851918 LMF851918 LWB851918 MFX851918 MPT851918 MZP851918 NJL851918 NTH851918 ODD851918 OMZ851918 OWV851918 PGR851918 PQN851918 QAJ851918 QKF851918 QUB851918 RDX851918 RNT851918 RXP851918 SHL851918 SRH851918 TBD851918 TKZ851918 TUV851918 UER851918 UON851918 UYJ851918 VIF851918 VSB851918 WBX851918 WLT851918 WVP851918 H917454 JD917454 SZ917454 ACV917454 AMR917454 AWN917454 BGJ917454 BQF917454 CAB917454 CJX917454 CTT917454 DDP917454 DNL917454 DXH917454 EHD917454 EQZ917454 FAV917454 FKR917454 FUN917454 GEJ917454 GOF917454 GYB917454 HHX917454 HRT917454 IBP917454 ILL917454 IVH917454 JFD917454 JOZ917454 JYV917454 KIR917454 KSN917454 LCJ917454 LMF917454 LWB917454 MFX917454 MPT917454 MZP917454 NJL917454 NTH917454 ODD917454 OMZ917454 OWV917454 PGR917454 PQN917454 QAJ917454 QKF917454 QUB917454 RDX917454 RNT917454 RXP917454 SHL917454 SRH917454 TBD917454 TKZ917454 TUV917454 UER917454 UON917454 UYJ917454 VIF917454 VSB917454 WBX917454 WLT917454 WVP917454 H982990 JD982990 SZ982990 ACV982990 AMR982990 AWN982990 BGJ982990 BQF982990 CAB982990 CJX982990 CTT982990 DDP982990 DNL982990 DXH982990 EHD982990 EQZ982990 FAV982990 FKR982990 FUN982990 GEJ982990 GOF982990 GYB982990 HHX982990 HRT982990 IBP982990 ILL982990 IVH982990 JFD982990 JOZ982990 JYV982990 KIR982990 KSN982990 LCJ982990 LMF982990 LWB982990 MFX982990 MPT982990 MZP982990 NJL982990 NTH982990 ODD982990 OMZ982990 OWV982990 PGR982990 PQN982990 QAJ982990 QKF982990 QUB982990 RDX982990 RNT982990 RXP982990 SHL982990 SRH982990 TBD982990 TKZ982990 TUV982990 UER982990 UON982990 UYJ982990 VIF982990 VSB982990 WBX982990 F8 H8" xr:uid="{00000000-0002-0000-0200-000001000000}"/>
    <dataValidation allowBlank="1" showInputMessage="1" showErrorMessage="1" prompt="50 triệu CTMT 30a giai đoạn trước" sqref="G12" xr:uid="{281793A1-7DC5-4E4A-8792-77BEE3FE552F}"/>
  </dataValidations>
  <printOptions horizontalCentered="1"/>
  <pageMargins left="0" right="0" top="0.75" bottom="0.4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6"/>
  <sheetViews>
    <sheetView zoomScaleNormal="100" workbookViewId="0">
      <pane xSplit="2" ySplit="7" topLeftCell="C8" activePane="bottomRight" state="frozen"/>
      <selection pane="topRight" activeCell="C1" sqref="C1"/>
      <selection pane="bottomLeft" activeCell="A8" sqref="A8"/>
      <selection pane="bottomRight" activeCell="A4" sqref="A4:E4"/>
    </sheetView>
  </sheetViews>
  <sheetFormatPr defaultColWidth="9.140625" defaultRowHeight="15.75" x14ac:dyDescent="0.25"/>
  <cols>
    <col min="1" max="1" width="6.85546875" style="9" customWidth="1"/>
    <col min="2" max="2" width="56.42578125" style="9" customWidth="1"/>
    <col min="3" max="3" width="14.42578125" style="9" customWidth="1"/>
    <col min="4" max="4" width="16" style="9" customWidth="1"/>
    <col min="5" max="5" width="15.5703125" style="9" customWidth="1"/>
    <col min="6" max="6" width="13.140625" style="9" customWidth="1"/>
    <col min="7" max="7" width="15.42578125" style="9" bestFit="1" customWidth="1"/>
    <col min="8" max="8" width="11.42578125" style="9" bestFit="1" customWidth="1"/>
    <col min="9" max="9" width="10.140625" style="9" bestFit="1" customWidth="1"/>
    <col min="10" max="10" width="9.140625" style="9"/>
    <col min="11" max="11" width="11.42578125" style="9" bestFit="1" customWidth="1"/>
    <col min="12" max="16384" width="9.140625" style="9"/>
  </cols>
  <sheetData>
    <row r="1" spans="1:11" x14ac:dyDescent="0.25">
      <c r="A1" s="15"/>
      <c r="D1" s="15" t="s">
        <v>77</v>
      </c>
    </row>
    <row r="2" spans="1:11" x14ac:dyDescent="0.25">
      <c r="A2" s="31"/>
    </row>
    <row r="3" spans="1:11" ht="16.5" x14ac:dyDescent="0.25">
      <c r="A3" s="328" t="s">
        <v>573</v>
      </c>
      <c r="B3" s="328"/>
      <c r="C3" s="328"/>
      <c r="D3" s="328"/>
      <c r="E3" s="328"/>
    </row>
    <row r="4" spans="1:11" x14ac:dyDescent="0.25">
      <c r="A4" s="329" t="s">
        <v>720</v>
      </c>
      <c r="B4" s="329"/>
      <c r="C4" s="329"/>
      <c r="D4" s="329"/>
      <c r="E4" s="329"/>
    </row>
    <row r="5" spans="1:11" x14ac:dyDescent="0.25">
      <c r="B5" s="2"/>
      <c r="C5" s="23"/>
      <c r="D5" s="52" t="s">
        <v>154</v>
      </c>
    </row>
    <row r="6" spans="1:11" x14ac:dyDescent="0.25">
      <c r="A6" s="68" t="s">
        <v>2</v>
      </c>
      <c r="B6" s="68" t="s">
        <v>3</v>
      </c>
      <c r="C6" s="68" t="s">
        <v>35</v>
      </c>
      <c r="D6" s="68" t="s">
        <v>5</v>
      </c>
      <c r="E6" s="68" t="s">
        <v>6</v>
      </c>
      <c r="G6" s="6"/>
    </row>
    <row r="7" spans="1:11" x14ac:dyDescent="0.25">
      <c r="A7" s="291" t="s">
        <v>7</v>
      </c>
      <c r="B7" s="291" t="s">
        <v>8</v>
      </c>
      <c r="C7" s="291">
        <v>1</v>
      </c>
      <c r="D7" s="291">
        <v>2</v>
      </c>
      <c r="E7" s="291" t="s">
        <v>9</v>
      </c>
      <c r="G7" s="6"/>
      <c r="H7" s="6"/>
    </row>
    <row r="8" spans="1:11" s="46" customFormat="1" ht="19.5" customHeight="1" x14ac:dyDescent="0.25">
      <c r="A8" s="38"/>
      <c r="B8" s="292" t="s">
        <v>20</v>
      </c>
      <c r="C8" s="318">
        <v>7064056.0382829998</v>
      </c>
      <c r="D8" s="318">
        <v>8309289.1822529994</v>
      </c>
      <c r="E8" s="319">
        <f>IF((C8&gt;0),D8/C8*100,0)</f>
        <v>117.62773592425617</v>
      </c>
      <c r="F8" s="54"/>
      <c r="G8" s="54"/>
      <c r="H8" s="53"/>
    </row>
    <row r="9" spans="1:11" s="46" customFormat="1" ht="28.5" x14ac:dyDescent="0.25">
      <c r="A9" s="39" t="s">
        <v>7</v>
      </c>
      <c r="B9" s="40" t="s">
        <v>500</v>
      </c>
      <c r="C9" s="320">
        <v>2424617</v>
      </c>
      <c r="D9" s="320">
        <v>2424547.4900000002</v>
      </c>
      <c r="E9" s="321">
        <f>IF((C9&gt;0),D9/C9*100,0)</f>
        <v>99.997133155463331</v>
      </c>
      <c r="F9" s="54"/>
      <c r="G9" s="54"/>
      <c r="H9" s="54"/>
    </row>
    <row r="10" spans="1:11" s="16" customFormat="1" ht="28.5" x14ac:dyDescent="0.25">
      <c r="A10" s="39" t="s">
        <v>8</v>
      </c>
      <c r="B10" s="40" t="s">
        <v>501</v>
      </c>
      <c r="C10" s="320">
        <v>4639439.0382829998</v>
      </c>
      <c r="D10" s="320">
        <v>3610925.8760600002</v>
      </c>
      <c r="E10" s="321">
        <f>IF((C10&gt;0),D10/C10*100,0)</f>
        <v>77.83108790230726</v>
      </c>
      <c r="F10" s="54"/>
      <c r="G10" s="290"/>
      <c r="H10" s="55"/>
      <c r="K10" s="54"/>
    </row>
    <row r="11" spans="1:11" s="46" customFormat="1" x14ac:dyDescent="0.25">
      <c r="A11" s="39" t="s">
        <v>39</v>
      </c>
      <c r="B11" s="40" t="s">
        <v>155</v>
      </c>
      <c r="C11" s="320">
        <v>1705044</v>
      </c>
      <c r="D11" s="320">
        <v>1407066.6160919999</v>
      </c>
      <c r="E11" s="322">
        <f t="shared" ref="E11:E45" si="0">IF((C11&gt;0),D11/C11*100,0)</f>
        <v>82.523771591348961</v>
      </c>
      <c r="F11" s="54"/>
      <c r="G11" s="131"/>
      <c r="K11" s="54"/>
    </row>
    <row r="12" spans="1:11" s="16" customFormat="1" x14ac:dyDescent="0.25">
      <c r="A12" s="39">
        <v>1</v>
      </c>
      <c r="B12" s="40" t="s">
        <v>66</v>
      </c>
      <c r="C12" s="320">
        <v>1705044</v>
      </c>
      <c r="D12" s="320">
        <v>1389164.6160919999</v>
      </c>
      <c r="E12" s="323">
        <f t="shared" si="0"/>
        <v>81.47382801218032</v>
      </c>
      <c r="F12" s="54"/>
      <c r="G12" s="132"/>
      <c r="H12" s="55"/>
      <c r="K12" s="55"/>
    </row>
    <row r="13" spans="1:11" s="16" customFormat="1" x14ac:dyDescent="0.25">
      <c r="A13" s="41" t="s">
        <v>78</v>
      </c>
      <c r="B13" s="37" t="s">
        <v>67</v>
      </c>
      <c r="C13" s="324">
        <v>50451</v>
      </c>
      <c r="D13" s="324">
        <v>42129.13</v>
      </c>
      <c r="E13" s="323"/>
      <c r="F13" s="54"/>
      <c r="G13" s="132"/>
      <c r="H13" s="55"/>
      <c r="K13" s="55"/>
    </row>
    <row r="14" spans="1:11" s="16" customFormat="1" x14ac:dyDescent="0.25">
      <c r="A14" s="41" t="s">
        <v>79</v>
      </c>
      <c r="B14" s="37" t="s">
        <v>68</v>
      </c>
      <c r="C14" s="324">
        <v>12900</v>
      </c>
      <c r="D14" s="324">
        <v>19547.66</v>
      </c>
      <c r="E14" s="323">
        <f t="shared" si="0"/>
        <v>151.5322480620155</v>
      </c>
      <c r="F14" s="54"/>
      <c r="K14" s="55"/>
    </row>
    <row r="15" spans="1:11" s="16" customFormat="1" x14ac:dyDescent="0.25">
      <c r="A15" s="41" t="s">
        <v>80</v>
      </c>
      <c r="B15" s="37" t="s">
        <v>81</v>
      </c>
      <c r="C15" s="324">
        <v>33322</v>
      </c>
      <c r="D15" s="324">
        <v>45135.28</v>
      </c>
      <c r="E15" s="323">
        <f t="shared" si="0"/>
        <v>135.4518936438389</v>
      </c>
      <c r="F15" s="54"/>
      <c r="H15" s="56"/>
      <c r="I15" s="56"/>
      <c r="K15" s="55"/>
    </row>
    <row r="16" spans="1:11" s="16" customFormat="1" x14ac:dyDescent="0.25">
      <c r="A16" s="41" t="s">
        <v>82</v>
      </c>
      <c r="B16" s="37" t="s">
        <v>83</v>
      </c>
      <c r="C16" s="324">
        <v>18150</v>
      </c>
      <c r="D16" s="325">
        <v>2147.98</v>
      </c>
      <c r="E16" s="323">
        <f t="shared" si="0"/>
        <v>11.834600550964188</v>
      </c>
      <c r="F16" s="54"/>
    </row>
    <row r="17" spans="1:8" s="16" customFormat="1" x14ac:dyDescent="0.25">
      <c r="A17" s="41" t="s">
        <v>84</v>
      </c>
      <c r="B17" s="37" t="s">
        <v>85</v>
      </c>
      <c r="C17" s="324">
        <v>250</v>
      </c>
      <c r="D17" s="324">
        <v>189.78609199999988</v>
      </c>
      <c r="E17" s="323">
        <f t="shared" si="0"/>
        <v>75.914436799999947</v>
      </c>
      <c r="F17" s="54"/>
      <c r="H17" s="55"/>
    </row>
    <row r="18" spans="1:8" s="16" customFormat="1" x14ac:dyDescent="0.25">
      <c r="A18" s="41" t="s">
        <v>86</v>
      </c>
      <c r="B18" s="37" t="s">
        <v>87</v>
      </c>
      <c r="C18" s="324">
        <v>10000</v>
      </c>
      <c r="D18" s="324">
        <v>32611.5</v>
      </c>
      <c r="E18" s="323">
        <f t="shared" si="0"/>
        <v>326.11500000000001</v>
      </c>
      <c r="F18" s="54"/>
    </row>
    <row r="19" spans="1:8" s="16" customFormat="1" x14ac:dyDescent="0.25">
      <c r="A19" s="41" t="s">
        <v>88</v>
      </c>
      <c r="B19" s="37" t="s">
        <v>89</v>
      </c>
      <c r="C19" s="324">
        <v>50</v>
      </c>
      <c r="D19" s="324"/>
      <c r="E19" s="323">
        <f t="shared" si="0"/>
        <v>0</v>
      </c>
      <c r="F19" s="54"/>
    </row>
    <row r="20" spans="1:8" s="16" customFormat="1" x14ac:dyDescent="0.25">
      <c r="A20" s="41" t="s">
        <v>90</v>
      </c>
      <c r="B20" s="37" t="s">
        <v>91</v>
      </c>
      <c r="C20" s="324">
        <v>1454049</v>
      </c>
      <c r="D20" s="324">
        <v>1063675.48</v>
      </c>
      <c r="E20" s="323">
        <f t="shared" si="0"/>
        <v>73.152657166299079</v>
      </c>
      <c r="F20" s="54"/>
    </row>
    <row r="21" spans="1:8" s="16" customFormat="1" x14ac:dyDescent="0.25">
      <c r="A21" s="41" t="s">
        <v>92</v>
      </c>
      <c r="B21" s="37" t="s">
        <v>93</v>
      </c>
      <c r="C21" s="324">
        <v>93460</v>
      </c>
      <c r="D21" s="324">
        <v>129430.81</v>
      </c>
      <c r="E21" s="323">
        <f t="shared" si="0"/>
        <v>138.48791996576074</v>
      </c>
      <c r="F21" s="54"/>
      <c r="G21" s="55"/>
    </row>
    <row r="22" spans="1:8" s="16" customFormat="1" x14ac:dyDescent="0.25">
      <c r="A22" s="41" t="s">
        <v>94</v>
      </c>
      <c r="B22" s="37" t="s">
        <v>95</v>
      </c>
      <c r="C22" s="324"/>
      <c r="D22" s="324"/>
      <c r="E22" s="323">
        <f t="shared" si="0"/>
        <v>0</v>
      </c>
      <c r="F22" s="54"/>
      <c r="G22" s="55"/>
    </row>
    <row r="23" spans="1:8" s="16" customFormat="1" x14ac:dyDescent="0.25">
      <c r="A23" s="41" t="s">
        <v>502</v>
      </c>
      <c r="B23" s="37" t="s">
        <v>71</v>
      </c>
      <c r="C23" s="324">
        <v>32412</v>
      </c>
      <c r="D23" s="324">
        <v>54296.99</v>
      </c>
      <c r="E23" s="323">
        <f t="shared" si="0"/>
        <v>167.5212575589288</v>
      </c>
      <c r="F23" s="54"/>
    </row>
    <row r="24" spans="1:8" s="16" customFormat="1" ht="57" x14ac:dyDescent="0.25">
      <c r="A24" s="39">
        <v>2</v>
      </c>
      <c r="B24" s="40" t="s">
        <v>202</v>
      </c>
      <c r="C24" s="320"/>
      <c r="D24" s="320">
        <v>17902</v>
      </c>
      <c r="E24" s="323">
        <f t="shared" si="0"/>
        <v>0</v>
      </c>
      <c r="F24" s="54"/>
      <c r="H24" s="55"/>
    </row>
    <row r="25" spans="1:8" s="46" customFormat="1" x14ac:dyDescent="0.25">
      <c r="A25" s="39">
        <v>3</v>
      </c>
      <c r="B25" s="40" t="s">
        <v>71</v>
      </c>
      <c r="C25" s="320">
        <v>0</v>
      </c>
      <c r="D25" s="320"/>
      <c r="E25" s="326">
        <f t="shared" si="0"/>
        <v>0</v>
      </c>
      <c r="F25" s="54"/>
    </row>
    <row r="26" spans="1:8" s="46" customFormat="1" x14ac:dyDescent="0.25">
      <c r="A26" s="39" t="s">
        <v>25</v>
      </c>
      <c r="B26" s="40" t="s">
        <v>22</v>
      </c>
      <c r="C26" s="320">
        <v>1804680.038283</v>
      </c>
      <c r="D26" s="320">
        <v>1846262.2942620001</v>
      </c>
      <c r="E26" s="321">
        <f t="shared" si="0"/>
        <v>102.30413453337479</v>
      </c>
      <c r="F26" s="54"/>
    </row>
    <row r="27" spans="1:8" s="46" customFormat="1" x14ac:dyDescent="0.25">
      <c r="A27" s="41">
        <v>1</v>
      </c>
      <c r="B27" s="37" t="s">
        <v>67</v>
      </c>
      <c r="C27" s="324">
        <v>406451</v>
      </c>
      <c r="D27" s="324">
        <v>389571.36274999997</v>
      </c>
      <c r="E27" s="321"/>
      <c r="F27" s="54"/>
    </row>
    <row r="28" spans="1:8" s="16" customFormat="1" x14ac:dyDescent="0.25">
      <c r="A28" s="41">
        <v>2</v>
      </c>
      <c r="B28" s="37" t="s">
        <v>505</v>
      </c>
      <c r="C28" s="324">
        <v>15888</v>
      </c>
      <c r="D28" s="324">
        <v>10675.246561</v>
      </c>
      <c r="E28" s="326">
        <f t="shared" si="0"/>
        <v>67.190625383937558</v>
      </c>
      <c r="F28" s="54"/>
    </row>
    <row r="29" spans="1:8" s="16" customFormat="1" x14ac:dyDescent="0.25">
      <c r="A29" s="41">
        <v>3</v>
      </c>
      <c r="B29" s="37" t="s">
        <v>81</v>
      </c>
      <c r="C29" s="324">
        <v>504764</v>
      </c>
      <c r="D29" s="324">
        <v>540972.07345899998</v>
      </c>
      <c r="E29" s="326">
        <f t="shared" si="0"/>
        <v>107.17326779623744</v>
      </c>
      <c r="F29" s="54"/>
    </row>
    <row r="30" spans="1:8" s="16" customFormat="1" x14ac:dyDescent="0.25">
      <c r="A30" s="41">
        <v>4</v>
      </c>
      <c r="B30" s="37" t="s">
        <v>83</v>
      </c>
      <c r="C30" s="324">
        <v>47154</v>
      </c>
      <c r="D30" s="324">
        <v>35558.359390999998</v>
      </c>
      <c r="E30" s="326">
        <f t="shared" si="0"/>
        <v>75.408999005386605</v>
      </c>
      <c r="F30" s="54"/>
    </row>
    <row r="31" spans="1:8" s="16" customFormat="1" x14ac:dyDescent="0.25">
      <c r="A31" s="41">
        <v>5</v>
      </c>
      <c r="B31" s="37" t="s">
        <v>85</v>
      </c>
      <c r="C31" s="324">
        <v>18336</v>
      </c>
      <c r="D31" s="324">
        <v>17969.571582</v>
      </c>
      <c r="E31" s="326">
        <f t="shared" si="0"/>
        <v>98.001590215968591</v>
      </c>
      <c r="F31" s="54"/>
    </row>
    <row r="32" spans="1:8" s="16" customFormat="1" x14ac:dyDescent="0.25">
      <c r="A32" s="41">
        <v>6</v>
      </c>
      <c r="B32" s="37" t="s">
        <v>87</v>
      </c>
      <c r="C32" s="324">
        <v>18955</v>
      </c>
      <c r="D32" s="324">
        <v>18663.804109000001</v>
      </c>
      <c r="E32" s="326">
        <f t="shared" si="0"/>
        <v>98.463751564231075</v>
      </c>
      <c r="F32" s="54"/>
    </row>
    <row r="33" spans="1:6" s="16" customFormat="1" x14ac:dyDescent="0.25">
      <c r="A33" s="41">
        <v>7</v>
      </c>
      <c r="B33" s="37" t="s">
        <v>89</v>
      </c>
      <c r="C33" s="324">
        <v>9162</v>
      </c>
      <c r="D33" s="324">
        <v>8379.3900410000006</v>
      </c>
      <c r="E33" s="326">
        <f t="shared" si="0"/>
        <v>91.458088201266108</v>
      </c>
      <c r="F33" s="54"/>
    </row>
    <row r="34" spans="1:6" s="16" customFormat="1" x14ac:dyDescent="0.25">
      <c r="A34" s="41">
        <v>8</v>
      </c>
      <c r="B34" s="37" t="s">
        <v>91</v>
      </c>
      <c r="C34" s="324">
        <v>239286</v>
      </c>
      <c r="D34" s="324">
        <v>330963.85456000001</v>
      </c>
      <c r="E34" s="326">
        <f t="shared" si="0"/>
        <v>138.31308750198508</v>
      </c>
      <c r="F34" s="54"/>
    </row>
    <row r="35" spans="1:6" s="16" customFormat="1" x14ac:dyDescent="0.25">
      <c r="A35" s="41">
        <v>9</v>
      </c>
      <c r="B35" s="37" t="s">
        <v>93</v>
      </c>
      <c r="C35" s="324">
        <v>337273</v>
      </c>
      <c r="D35" s="324">
        <v>345043.49102100002</v>
      </c>
      <c r="E35" s="326">
        <f t="shared" si="0"/>
        <v>102.30391730764099</v>
      </c>
      <c r="F35" s="54"/>
    </row>
    <row r="36" spans="1:6" s="16" customFormat="1" x14ac:dyDescent="0.25">
      <c r="A36" s="41">
        <v>10</v>
      </c>
      <c r="B36" s="37" t="s">
        <v>95</v>
      </c>
      <c r="C36" s="324">
        <v>69514.038283000002</v>
      </c>
      <c r="D36" s="324">
        <v>22961.437645999998</v>
      </c>
      <c r="E36" s="326">
        <f t="shared" si="0"/>
        <v>33.031367782894769</v>
      </c>
      <c r="F36" s="54"/>
    </row>
    <row r="37" spans="1:6" s="46" customFormat="1" ht="15.75" customHeight="1" x14ac:dyDescent="0.25">
      <c r="A37" s="41">
        <v>12</v>
      </c>
      <c r="B37" s="37" t="s">
        <v>506</v>
      </c>
      <c r="C37" s="324">
        <f>46051+91846</f>
        <v>137897</v>
      </c>
      <c r="D37" s="324">
        <f>3958.18736+121545.515782</f>
        <v>125503.703142</v>
      </c>
      <c r="E37" s="326">
        <f t="shared" si="0"/>
        <v>91.012642147399873</v>
      </c>
      <c r="F37" s="54"/>
    </row>
    <row r="38" spans="1:6" s="46" customFormat="1" ht="28.5" x14ac:dyDescent="0.25">
      <c r="A38" s="39" t="s">
        <v>29</v>
      </c>
      <c r="B38" s="40" t="s">
        <v>231</v>
      </c>
      <c r="C38" s="320">
        <v>2200</v>
      </c>
      <c r="D38" s="320">
        <v>9699.7659999999996</v>
      </c>
      <c r="E38" s="321">
        <f t="shared" si="0"/>
        <v>440.89845454545451</v>
      </c>
      <c r="F38" s="54"/>
    </row>
    <row r="39" spans="1:6" s="46" customFormat="1" x14ac:dyDescent="0.25">
      <c r="A39" s="39" t="s">
        <v>56</v>
      </c>
      <c r="B39" s="40" t="s">
        <v>23</v>
      </c>
      <c r="C39" s="320">
        <v>1000</v>
      </c>
      <c r="D39" s="320">
        <v>24154</v>
      </c>
      <c r="E39" s="321">
        <f t="shared" si="0"/>
        <v>2415.4</v>
      </c>
      <c r="F39" s="54"/>
    </row>
    <row r="40" spans="1:6" s="46" customFormat="1" x14ac:dyDescent="0.25">
      <c r="A40" s="39" t="s">
        <v>73</v>
      </c>
      <c r="B40" s="40" t="s">
        <v>24</v>
      </c>
      <c r="C40" s="320">
        <v>67330</v>
      </c>
      <c r="D40" s="320"/>
      <c r="E40" s="321">
        <f t="shared" si="0"/>
        <v>0</v>
      </c>
      <c r="F40" s="54"/>
    </row>
    <row r="41" spans="1:6" s="46" customFormat="1" x14ac:dyDescent="0.25">
      <c r="A41" s="39" t="s">
        <v>74</v>
      </c>
      <c r="B41" s="40" t="s">
        <v>243</v>
      </c>
      <c r="C41" s="320">
        <v>48400</v>
      </c>
      <c r="D41" s="320">
        <v>22936.998068000001</v>
      </c>
      <c r="E41" s="321">
        <f t="shared" si="0"/>
        <v>47.39049187603306</v>
      </c>
      <c r="F41" s="54"/>
    </row>
    <row r="42" spans="1:6" s="46" customFormat="1" ht="87.75" customHeight="1" x14ac:dyDescent="0.25">
      <c r="A42" s="39" t="s">
        <v>383</v>
      </c>
      <c r="B42" s="40" t="s">
        <v>436</v>
      </c>
      <c r="C42" s="320">
        <v>1010785</v>
      </c>
      <c r="D42" s="320">
        <v>289806.20163799997</v>
      </c>
      <c r="E42" s="321">
        <f t="shared" si="0"/>
        <v>28.671399124245017</v>
      </c>
      <c r="F42" s="54"/>
    </row>
    <row r="43" spans="1:6" x14ac:dyDescent="0.25">
      <c r="A43" s="39" t="s">
        <v>384</v>
      </c>
      <c r="B43" s="40" t="s">
        <v>437</v>
      </c>
      <c r="C43" s="320"/>
      <c r="D43" s="320">
        <v>11000</v>
      </c>
      <c r="E43" s="321">
        <f t="shared" si="0"/>
        <v>0</v>
      </c>
      <c r="F43" s="54"/>
    </row>
    <row r="44" spans="1:6" x14ac:dyDescent="0.25">
      <c r="A44" s="39" t="s">
        <v>509</v>
      </c>
      <c r="B44" s="40" t="s">
        <v>552</v>
      </c>
      <c r="C44" s="320"/>
      <c r="D44" s="320"/>
      <c r="E44" s="321">
        <f t="shared" si="0"/>
        <v>0</v>
      </c>
      <c r="F44" s="54"/>
    </row>
    <row r="45" spans="1:6" x14ac:dyDescent="0.25">
      <c r="A45" s="39" t="s">
        <v>31</v>
      </c>
      <c r="B45" s="40" t="s">
        <v>76</v>
      </c>
      <c r="C45" s="320"/>
      <c r="D45" s="320">
        <v>1955445.8067010001</v>
      </c>
      <c r="E45" s="321">
        <f t="shared" si="0"/>
        <v>0</v>
      </c>
      <c r="F45" s="54"/>
    </row>
    <row r="46" spans="1:6" x14ac:dyDescent="0.25">
      <c r="A46" s="42" t="s">
        <v>32</v>
      </c>
      <c r="B46" s="43" t="s">
        <v>510</v>
      </c>
      <c r="C46" s="327"/>
      <c r="D46" s="327">
        <v>318370.00949199998</v>
      </c>
      <c r="E46" s="327"/>
      <c r="F46" s="54"/>
    </row>
  </sheetData>
  <mergeCells count="2">
    <mergeCell ref="A3:E3"/>
    <mergeCell ref="A4:E4"/>
  </mergeCells>
  <dataValidations count="1">
    <dataValidation allowBlank="1" showInputMessage="1" showErrorMessage="1" prompt="Chưa bao gồm bổ sung mục tiêu NS cấp dưới" sqref="D8" xr:uid="{346B8418-A4EC-40EC-B432-DC4D1A64A871}"/>
  </dataValidations>
  <printOptions horizontalCentered="1"/>
  <pageMargins left="0" right="0" top="0.75" bottom="0.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20"/>
  <sheetViews>
    <sheetView zoomScale="70" zoomScaleNormal="70" workbookViewId="0">
      <pane xSplit="2" ySplit="9" topLeftCell="C10" activePane="bottomRight" state="frozen"/>
      <selection pane="topRight" activeCell="C1" sqref="C1"/>
      <selection pane="bottomLeft" activeCell="A10" sqref="A10"/>
      <selection pane="bottomRight" activeCell="A4" sqref="A4:AE4"/>
    </sheetView>
  </sheetViews>
  <sheetFormatPr defaultColWidth="9.140625" defaultRowHeight="15.75" outlineLevelRow="1" outlineLevelCol="1" x14ac:dyDescent="0.25"/>
  <cols>
    <col min="1" max="1" width="6.42578125" style="9" customWidth="1"/>
    <col min="2" max="2" width="45.140625" style="9" customWidth="1"/>
    <col min="3" max="3" width="14.5703125" style="9" bestFit="1" customWidth="1"/>
    <col min="4" max="5" width="12.42578125" style="9" bestFit="1" customWidth="1"/>
    <col min="6" max="8" width="17.140625" style="9" hidden="1" customWidth="1" outlineLevel="1"/>
    <col min="9" max="9" width="13.42578125" style="9" customWidth="1" collapsed="1"/>
    <col min="10" max="10" width="18.7109375" style="9" customWidth="1"/>
    <col min="11" max="11" width="11.140625" style="9" customWidth="1"/>
    <col min="12" max="12" width="11.85546875" style="9" customWidth="1"/>
    <col min="13" max="13" width="10.42578125" style="9" customWidth="1"/>
    <col min="14" max="14" width="12.42578125" style="9" bestFit="1" customWidth="1"/>
    <col min="15" max="15" width="12.42578125" style="9" customWidth="1"/>
    <col min="16" max="16" width="12.85546875" style="9" customWidth="1"/>
    <col min="17" max="17" width="18.85546875" style="9" hidden="1" customWidth="1" outlineLevel="1"/>
    <col min="18" max="18" width="18.42578125" style="9" hidden="1" customWidth="1" outlineLevel="1"/>
    <col min="19" max="19" width="11.85546875" style="9" customWidth="1" collapsed="1"/>
    <col min="20" max="20" width="20.5703125" style="9" customWidth="1"/>
    <col min="21" max="21" width="13" style="9" customWidth="1"/>
    <col min="22" max="22" width="12.42578125" style="9" customWidth="1"/>
    <col min="23" max="23" width="11.140625" style="9" customWidth="1"/>
    <col min="24" max="24" width="15.42578125" style="9" customWidth="1"/>
    <col min="25" max="25" width="13.5703125" style="9" hidden="1" customWidth="1" outlineLevel="1"/>
    <col min="26" max="26" width="11.5703125" style="9" hidden="1" customWidth="1" outlineLevel="1"/>
    <col min="27" max="27" width="12.42578125" style="9" customWidth="1" collapsed="1"/>
    <col min="28" max="28" width="9.42578125" style="9" customWidth="1"/>
    <col min="29" max="29" width="10.5703125" style="9" customWidth="1"/>
    <col min="30" max="30" width="9.5703125" style="9" customWidth="1"/>
    <col min="31" max="31" width="11.42578125" style="9" customWidth="1"/>
    <col min="32" max="32" width="9.140625" style="111"/>
    <col min="33" max="33" width="12.5703125" style="9" bestFit="1" customWidth="1"/>
    <col min="34" max="34" width="20.140625" style="9" bestFit="1" customWidth="1"/>
    <col min="35" max="256" width="9.140625" style="9"/>
    <col min="257" max="257" width="5.42578125" style="9" customWidth="1"/>
    <col min="258" max="258" width="45.140625" style="9" customWidth="1"/>
    <col min="259" max="259" width="15.140625" style="9" customWidth="1"/>
    <col min="260" max="260" width="16.42578125" style="9" customWidth="1"/>
    <col min="261" max="261" width="17.140625" style="9" customWidth="1"/>
    <col min="262" max="264" width="0" style="9" hidden="1" customWidth="1"/>
    <col min="265" max="266" width="15.85546875" style="9" customWidth="1"/>
    <col min="267" max="267" width="11.140625" style="9" customWidth="1"/>
    <col min="268" max="268" width="11.85546875" style="9" customWidth="1"/>
    <col min="269" max="269" width="10.42578125" style="9" customWidth="1"/>
    <col min="270" max="270" width="16.42578125" style="9" customWidth="1"/>
    <col min="271" max="271" width="14.140625" style="9" customWidth="1"/>
    <col min="272" max="272" width="15.85546875" style="9" customWidth="1"/>
    <col min="273" max="274" width="0" style="9" hidden="1" customWidth="1"/>
    <col min="275" max="275" width="11.85546875" style="9" customWidth="1"/>
    <col min="276" max="276" width="15.85546875" style="9" customWidth="1"/>
    <col min="277" max="277" width="15.42578125" style="9" customWidth="1"/>
    <col min="278" max="278" width="12.42578125" style="9" customWidth="1"/>
    <col min="279" max="279" width="11.140625" style="9" customWidth="1"/>
    <col min="280" max="280" width="15.42578125" style="9" customWidth="1"/>
    <col min="281" max="282" width="0" style="9" hidden="1" customWidth="1"/>
    <col min="283" max="283" width="15" style="9" customWidth="1"/>
    <col min="284" max="284" width="9.42578125" style="9" customWidth="1"/>
    <col min="285" max="285" width="10.5703125" style="9" customWidth="1"/>
    <col min="286" max="286" width="9.5703125" style="9" customWidth="1"/>
    <col min="287" max="287" width="11.42578125" style="9" customWidth="1"/>
    <col min="288" max="288" width="9.140625" style="9"/>
    <col min="289" max="289" width="12.5703125" style="9" bestFit="1" customWidth="1"/>
    <col min="290" max="290" width="20.140625" style="9" bestFit="1" customWidth="1"/>
    <col min="291" max="512" width="9.140625" style="9"/>
    <col min="513" max="513" width="5.42578125" style="9" customWidth="1"/>
    <col min="514" max="514" width="45.140625" style="9" customWidth="1"/>
    <col min="515" max="515" width="15.140625" style="9" customWidth="1"/>
    <col min="516" max="516" width="16.42578125" style="9" customWidth="1"/>
    <col min="517" max="517" width="17.140625" style="9" customWidth="1"/>
    <col min="518" max="520" width="0" style="9" hidden="1" customWidth="1"/>
    <col min="521" max="522" width="15.85546875" style="9" customWidth="1"/>
    <col min="523" max="523" width="11.140625" style="9" customWidth="1"/>
    <col min="524" max="524" width="11.85546875" style="9" customWidth="1"/>
    <col min="525" max="525" width="10.42578125" style="9" customWidth="1"/>
    <col min="526" max="526" width="16.42578125" style="9" customWidth="1"/>
    <col min="527" max="527" width="14.140625" style="9" customWidth="1"/>
    <col min="528" max="528" width="15.85546875" style="9" customWidth="1"/>
    <col min="529" max="530" width="0" style="9" hidden="1" customWidth="1"/>
    <col min="531" max="531" width="11.85546875" style="9" customWidth="1"/>
    <col min="532" max="532" width="15.85546875" style="9" customWidth="1"/>
    <col min="533" max="533" width="15.42578125" style="9" customWidth="1"/>
    <col min="534" max="534" width="12.42578125" style="9" customWidth="1"/>
    <col min="535" max="535" width="11.140625" style="9" customWidth="1"/>
    <col min="536" max="536" width="15.42578125" style="9" customWidth="1"/>
    <col min="537" max="538" width="0" style="9" hidden="1" customWidth="1"/>
    <col min="539" max="539" width="15" style="9" customWidth="1"/>
    <col min="540" max="540" width="9.42578125" style="9" customWidth="1"/>
    <col min="541" max="541" width="10.5703125" style="9" customWidth="1"/>
    <col min="542" max="542" width="9.5703125" style="9" customWidth="1"/>
    <col min="543" max="543" width="11.42578125" style="9" customWidth="1"/>
    <col min="544" max="544" width="9.140625" style="9"/>
    <col min="545" max="545" width="12.5703125" style="9" bestFit="1" customWidth="1"/>
    <col min="546" max="546" width="20.140625" style="9" bestFit="1" customWidth="1"/>
    <col min="547" max="768" width="9.140625" style="9"/>
    <col min="769" max="769" width="5.42578125" style="9" customWidth="1"/>
    <col min="770" max="770" width="45.140625" style="9" customWidth="1"/>
    <col min="771" max="771" width="15.140625" style="9" customWidth="1"/>
    <col min="772" max="772" width="16.42578125" style="9" customWidth="1"/>
    <col min="773" max="773" width="17.140625" style="9" customWidth="1"/>
    <col min="774" max="776" width="0" style="9" hidden="1" customWidth="1"/>
    <col min="777" max="778" width="15.85546875" style="9" customWidth="1"/>
    <col min="779" max="779" width="11.140625" style="9" customWidth="1"/>
    <col min="780" max="780" width="11.85546875" style="9" customWidth="1"/>
    <col min="781" max="781" width="10.42578125" style="9" customWidth="1"/>
    <col min="782" max="782" width="16.42578125" style="9" customWidth="1"/>
    <col min="783" max="783" width="14.140625" style="9" customWidth="1"/>
    <col min="784" max="784" width="15.85546875" style="9" customWidth="1"/>
    <col min="785" max="786" width="0" style="9" hidden="1" customWidth="1"/>
    <col min="787" max="787" width="11.85546875" style="9" customWidth="1"/>
    <col min="788" max="788" width="15.85546875" style="9" customWidth="1"/>
    <col min="789" max="789" width="15.42578125" style="9" customWidth="1"/>
    <col min="790" max="790" width="12.42578125" style="9" customWidth="1"/>
    <col min="791" max="791" width="11.140625" style="9" customWidth="1"/>
    <col min="792" max="792" width="15.42578125" style="9" customWidth="1"/>
    <col min="793" max="794" width="0" style="9" hidden="1" customWidth="1"/>
    <col min="795" max="795" width="15" style="9" customWidth="1"/>
    <col min="796" max="796" width="9.42578125" style="9" customWidth="1"/>
    <col min="797" max="797" width="10.5703125" style="9" customWidth="1"/>
    <col min="798" max="798" width="9.5703125" style="9" customWidth="1"/>
    <col min="799" max="799" width="11.42578125" style="9" customWidth="1"/>
    <col min="800" max="800" width="9.140625" style="9"/>
    <col min="801" max="801" width="12.5703125" style="9" bestFit="1" customWidth="1"/>
    <col min="802" max="802" width="20.140625" style="9" bestFit="1" customWidth="1"/>
    <col min="803" max="1024" width="9.140625" style="9"/>
    <col min="1025" max="1025" width="5.42578125" style="9" customWidth="1"/>
    <col min="1026" max="1026" width="45.140625" style="9" customWidth="1"/>
    <col min="1027" max="1027" width="15.140625" style="9" customWidth="1"/>
    <col min="1028" max="1028" width="16.42578125" style="9" customWidth="1"/>
    <col min="1029" max="1029" width="17.140625" style="9" customWidth="1"/>
    <col min="1030" max="1032" width="0" style="9" hidden="1" customWidth="1"/>
    <col min="1033" max="1034" width="15.85546875" style="9" customWidth="1"/>
    <col min="1035" max="1035" width="11.140625" style="9" customWidth="1"/>
    <col min="1036" max="1036" width="11.85546875" style="9" customWidth="1"/>
    <col min="1037" max="1037" width="10.42578125" style="9" customWidth="1"/>
    <col min="1038" max="1038" width="16.42578125" style="9" customWidth="1"/>
    <col min="1039" max="1039" width="14.140625" style="9" customWidth="1"/>
    <col min="1040" max="1040" width="15.85546875" style="9" customWidth="1"/>
    <col min="1041" max="1042" width="0" style="9" hidden="1" customWidth="1"/>
    <col min="1043" max="1043" width="11.85546875" style="9" customWidth="1"/>
    <col min="1044" max="1044" width="15.85546875" style="9" customWidth="1"/>
    <col min="1045" max="1045" width="15.42578125" style="9" customWidth="1"/>
    <col min="1046" max="1046" width="12.42578125" style="9" customWidth="1"/>
    <col min="1047" max="1047" width="11.140625" style="9" customWidth="1"/>
    <col min="1048" max="1048" width="15.42578125" style="9" customWidth="1"/>
    <col min="1049" max="1050" width="0" style="9" hidden="1" customWidth="1"/>
    <col min="1051" max="1051" width="15" style="9" customWidth="1"/>
    <col min="1052" max="1052" width="9.42578125" style="9" customWidth="1"/>
    <col min="1053" max="1053" width="10.5703125" style="9" customWidth="1"/>
    <col min="1054" max="1054" width="9.5703125" style="9" customWidth="1"/>
    <col min="1055" max="1055" width="11.42578125" style="9" customWidth="1"/>
    <col min="1056" max="1056" width="9.140625" style="9"/>
    <col min="1057" max="1057" width="12.5703125" style="9" bestFit="1" customWidth="1"/>
    <col min="1058" max="1058" width="20.140625" style="9" bestFit="1" customWidth="1"/>
    <col min="1059" max="1280" width="9.140625" style="9"/>
    <col min="1281" max="1281" width="5.42578125" style="9" customWidth="1"/>
    <col min="1282" max="1282" width="45.140625" style="9" customWidth="1"/>
    <col min="1283" max="1283" width="15.140625" style="9" customWidth="1"/>
    <col min="1284" max="1284" width="16.42578125" style="9" customWidth="1"/>
    <col min="1285" max="1285" width="17.140625" style="9" customWidth="1"/>
    <col min="1286" max="1288" width="0" style="9" hidden="1" customWidth="1"/>
    <col min="1289" max="1290" width="15.85546875" style="9" customWidth="1"/>
    <col min="1291" max="1291" width="11.140625" style="9" customWidth="1"/>
    <col min="1292" max="1292" width="11.85546875" style="9" customWidth="1"/>
    <col min="1293" max="1293" width="10.42578125" style="9" customWidth="1"/>
    <col min="1294" max="1294" width="16.42578125" style="9" customWidth="1"/>
    <col min="1295" max="1295" width="14.140625" style="9" customWidth="1"/>
    <col min="1296" max="1296" width="15.85546875" style="9" customWidth="1"/>
    <col min="1297" max="1298" width="0" style="9" hidden="1" customWidth="1"/>
    <col min="1299" max="1299" width="11.85546875" style="9" customWidth="1"/>
    <col min="1300" max="1300" width="15.85546875" style="9" customWidth="1"/>
    <col min="1301" max="1301" width="15.42578125" style="9" customWidth="1"/>
    <col min="1302" max="1302" width="12.42578125" style="9" customWidth="1"/>
    <col min="1303" max="1303" width="11.140625" style="9" customWidth="1"/>
    <col min="1304" max="1304" width="15.42578125" style="9" customWidth="1"/>
    <col min="1305" max="1306" width="0" style="9" hidden="1" customWidth="1"/>
    <col min="1307" max="1307" width="15" style="9" customWidth="1"/>
    <col min="1308" max="1308" width="9.42578125" style="9" customWidth="1"/>
    <col min="1309" max="1309" width="10.5703125" style="9" customWidth="1"/>
    <col min="1310" max="1310" width="9.5703125" style="9" customWidth="1"/>
    <col min="1311" max="1311" width="11.42578125" style="9" customWidth="1"/>
    <col min="1312" max="1312" width="9.140625" style="9"/>
    <col min="1313" max="1313" width="12.5703125" style="9" bestFit="1" customWidth="1"/>
    <col min="1314" max="1314" width="20.140625" style="9" bestFit="1" customWidth="1"/>
    <col min="1315" max="1536" width="9.140625" style="9"/>
    <col min="1537" max="1537" width="5.42578125" style="9" customWidth="1"/>
    <col min="1538" max="1538" width="45.140625" style="9" customWidth="1"/>
    <col min="1539" max="1539" width="15.140625" style="9" customWidth="1"/>
    <col min="1540" max="1540" width="16.42578125" style="9" customWidth="1"/>
    <col min="1541" max="1541" width="17.140625" style="9" customWidth="1"/>
    <col min="1542" max="1544" width="0" style="9" hidden="1" customWidth="1"/>
    <col min="1545" max="1546" width="15.85546875" style="9" customWidth="1"/>
    <col min="1547" max="1547" width="11.140625" style="9" customWidth="1"/>
    <col min="1548" max="1548" width="11.85546875" style="9" customWidth="1"/>
    <col min="1549" max="1549" width="10.42578125" style="9" customWidth="1"/>
    <col min="1550" max="1550" width="16.42578125" style="9" customWidth="1"/>
    <col min="1551" max="1551" width="14.140625" style="9" customWidth="1"/>
    <col min="1552" max="1552" width="15.85546875" style="9" customWidth="1"/>
    <col min="1553" max="1554" width="0" style="9" hidden="1" customWidth="1"/>
    <col min="1555" max="1555" width="11.85546875" style="9" customWidth="1"/>
    <col min="1556" max="1556" width="15.85546875" style="9" customWidth="1"/>
    <col min="1557" max="1557" width="15.42578125" style="9" customWidth="1"/>
    <col min="1558" max="1558" width="12.42578125" style="9" customWidth="1"/>
    <col min="1559" max="1559" width="11.140625" style="9" customWidth="1"/>
    <col min="1560" max="1560" width="15.42578125" style="9" customWidth="1"/>
    <col min="1561" max="1562" width="0" style="9" hidden="1" customWidth="1"/>
    <col min="1563" max="1563" width="15" style="9" customWidth="1"/>
    <col min="1564" max="1564" width="9.42578125" style="9" customWidth="1"/>
    <col min="1565" max="1565" width="10.5703125" style="9" customWidth="1"/>
    <col min="1566" max="1566" width="9.5703125" style="9" customWidth="1"/>
    <col min="1567" max="1567" width="11.42578125" style="9" customWidth="1"/>
    <col min="1568" max="1568" width="9.140625" style="9"/>
    <col min="1569" max="1569" width="12.5703125" style="9" bestFit="1" customWidth="1"/>
    <col min="1570" max="1570" width="20.140625" style="9" bestFit="1" customWidth="1"/>
    <col min="1571" max="1792" width="9.140625" style="9"/>
    <col min="1793" max="1793" width="5.42578125" style="9" customWidth="1"/>
    <col min="1794" max="1794" width="45.140625" style="9" customWidth="1"/>
    <col min="1795" max="1795" width="15.140625" style="9" customWidth="1"/>
    <col min="1796" max="1796" width="16.42578125" style="9" customWidth="1"/>
    <col min="1797" max="1797" width="17.140625" style="9" customWidth="1"/>
    <col min="1798" max="1800" width="0" style="9" hidden="1" customWidth="1"/>
    <col min="1801" max="1802" width="15.85546875" style="9" customWidth="1"/>
    <col min="1803" max="1803" width="11.140625" style="9" customWidth="1"/>
    <col min="1804" max="1804" width="11.85546875" style="9" customWidth="1"/>
    <col min="1805" max="1805" width="10.42578125" style="9" customWidth="1"/>
    <col min="1806" max="1806" width="16.42578125" style="9" customWidth="1"/>
    <col min="1807" max="1807" width="14.140625" style="9" customWidth="1"/>
    <col min="1808" max="1808" width="15.85546875" style="9" customWidth="1"/>
    <col min="1809" max="1810" width="0" style="9" hidden="1" customWidth="1"/>
    <col min="1811" max="1811" width="11.85546875" style="9" customWidth="1"/>
    <col min="1812" max="1812" width="15.85546875" style="9" customWidth="1"/>
    <col min="1813" max="1813" width="15.42578125" style="9" customWidth="1"/>
    <col min="1814" max="1814" width="12.42578125" style="9" customWidth="1"/>
    <col min="1815" max="1815" width="11.140625" style="9" customWidth="1"/>
    <col min="1816" max="1816" width="15.42578125" style="9" customWidth="1"/>
    <col min="1817" max="1818" width="0" style="9" hidden="1" customWidth="1"/>
    <col min="1819" max="1819" width="15" style="9" customWidth="1"/>
    <col min="1820" max="1820" width="9.42578125" style="9" customWidth="1"/>
    <col min="1821" max="1821" width="10.5703125" style="9" customWidth="1"/>
    <col min="1822" max="1822" width="9.5703125" style="9" customWidth="1"/>
    <col min="1823" max="1823" width="11.42578125" style="9" customWidth="1"/>
    <col min="1824" max="1824" width="9.140625" style="9"/>
    <col min="1825" max="1825" width="12.5703125" style="9" bestFit="1" customWidth="1"/>
    <col min="1826" max="1826" width="20.140625" style="9" bestFit="1" customWidth="1"/>
    <col min="1827" max="2048" width="9.140625" style="9"/>
    <col min="2049" max="2049" width="5.42578125" style="9" customWidth="1"/>
    <col min="2050" max="2050" width="45.140625" style="9" customWidth="1"/>
    <col min="2051" max="2051" width="15.140625" style="9" customWidth="1"/>
    <col min="2052" max="2052" width="16.42578125" style="9" customWidth="1"/>
    <col min="2053" max="2053" width="17.140625" style="9" customWidth="1"/>
    <col min="2054" max="2056" width="0" style="9" hidden="1" customWidth="1"/>
    <col min="2057" max="2058" width="15.85546875" style="9" customWidth="1"/>
    <col min="2059" max="2059" width="11.140625" style="9" customWidth="1"/>
    <col min="2060" max="2060" width="11.85546875" style="9" customWidth="1"/>
    <col min="2061" max="2061" width="10.42578125" style="9" customWidth="1"/>
    <col min="2062" max="2062" width="16.42578125" style="9" customWidth="1"/>
    <col min="2063" max="2063" width="14.140625" style="9" customWidth="1"/>
    <col min="2064" max="2064" width="15.85546875" style="9" customWidth="1"/>
    <col min="2065" max="2066" width="0" style="9" hidden="1" customWidth="1"/>
    <col min="2067" max="2067" width="11.85546875" style="9" customWidth="1"/>
    <col min="2068" max="2068" width="15.85546875" style="9" customWidth="1"/>
    <col min="2069" max="2069" width="15.42578125" style="9" customWidth="1"/>
    <col min="2070" max="2070" width="12.42578125" style="9" customWidth="1"/>
    <col min="2071" max="2071" width="11.140625" style="9" customWidth="1"/>
    <col min="2072" max="2072" width="15.42578125" style="9" customWidth="1"/>
    <col min="2073" max="2074" width="0" style="9" hidden="1" customWidth="1"/>
    <col min="2075" max="2075" width="15" style="9" customWidth="1"/>
    <col min="2076" max="2076" width="9.42578125" style="9" customWidth="1"/>
    <col min="2077" max="2077" width="10.5703125" style="9" customWidth="1"/>
    <col min="2078" max="2078" width="9.5703125" style="9" customWidth="1"/>
    <col min="2079" max="2079" width="11.42578125" style="9" customWidth="1"/>
    <col min="2080" max="2080" width="9.140625" style="9"/>
    <col min="2081" max="2081" width="12.5703125" style="9" bestFit="1" customWidth="1"/>
    <col min="2082" max="2082" width="20.140625" style="9" bestFit="1" customWidth="1"/>
    <col min="2083" max="2304" width="9.140625" style="9"/>
    <col min="2305" max="2305" width="5.42578125" style="9" customWidth="1"/>
    <col min="2306" max="2306" width="45.140625" style="9" customWidth="1"/>
    <col min="2307" max="2307" width="15.140625" style="9" customWidth="1"/>
    <col min="2308" max="2308" width="16.42578125" style="9" customWidth="1"/>
    <col min="2309" max="2309" width="17.140625" style="9" customWidth="1"/>
    <col min="2310" max="2312" width="0" style="9" hidden="1" customWidth="1"/>
    <col min="2313" max="2314" width="15.85546875" style="9" customWidth="1"/>
    <col min="2315" max="2315" width="11.140625" style="9" customWidth="1"/>
    <col min="2316" max="2316" width="11.85546875" style="9" customWidth="1"/>
    <col min="2317" max="2317" width="10.42578125" style="9" customWidth="1"/>
    <col min="2318" max="2318" width="16.42578125" style="9" customWidth="1"/>
    <col min="2319" max="2319" width="14.140625" style="9" customWidth="1"/>
    <col min="2320" max="2320" width="15.85546875" style="9" customWidth="1"/>
    <col min="2321" max="2322" width="0" style="9" hidden="1" customWidth="1"/>
    <col min="2323" max="2323" width="11.85546875" style="9" customWidth="1"/>
    <col min="2324" max="2324" width="15.85546875" style="9" customWidth="1"/>
    <col min="2325" max="2325" width="15.42578125" style="9" customWidth="1"/>
    <col min="2326" max="2326" width="12.42578125" style="9" customWidth="1"/>
    <col min="2327" max="2327" width="11.140625" style="9" customWidth="1"/>
    <col min="2328" max="2328" width="15.42578125" style="9" customWidth="1"/>
    <col min="2329" max="2330" width="0" style="9" hidden="1" customWidth="1"/>
    <col min="2331" max="2331" width="15" style="9" customWidth="1"/>
    <col min="2332" max="2332" width="9.42578125" style="9" customWidth="1"/>
    <col min="2333" max="2333" width="10.5703125" style="9" customWidth="1"/>
    <col min="2334" max="2334" width="9.5703125" style="9" customWidth="1"/>
    <col min="2335" max="2335" width="11.42578125" style="9" customWidth="1"/>
    <col min="2336" max="2336" width="9.140625" style="9"/>
    <col min="2337" max="2337" width="12.5703125" style="9" bestFit="1" customWidth="1"/>
    <col min="2338" max="2338" width="20.140625" style="9" bestFit="1" customWidth="1"/>
    <col min="2339" max="2560" width="9.140625" style="9"/>
    <col min="2561" max="2561" width="5.42578125" style="9" customWidth="1"/>
    <col min="2562" max="2562" width="45.140625" style="9" customWidth="1"/>
    <col min="2563" max="2563" width="15.140625" style="9" customWidth="1"/>
    <col min="2564" max="2564" width="16.42578125" style="9" customWidth="1"/>
    <col min="2565" max="2565" width="17.140625" style="9" customWidth="1"/>
    <col min="2566" max="2568" width="0" style="9" hidden="1" customWidth="1"/>
    <col min="2569" max="2570" width="15.85546875" style="9" customWidth="1"/>
    <col min="2571" max="2571" width="11.140625" style="9" customWidth="1"/>
    <col min="2572" max="2572" width="11.85546875" style="9" customWidth="1"/>
    <col min="2573" max="2573" width="10.42578125" style="9" customWidth="1"/>
    <col min="2574" max="2574" width="16.42578125" style="9" customWidth="1"/>
    <col min="2575" max="2575" width="14.140625" style="9" customWidth="1"/>
    <col min="2576" max="2576" width="15.85546875" style="9" customWidth="1"/>
    <col min="2577" max="2578" width="0" style="9" hidden="1" customWidth="1"/>
    <col min="2579" max="2579" width="11.85546875" style="9" customWidth="1"/>
    <col min="2580" max="2580" width="15.85546875" style="9" customWidth="1"/>
    <col min="2581" max="2581" width="15.42578125" style="9" customWidth="1"/>
    <col min="2582" max="2582" width="12.42578125" style="9" customWidth="1"/>
    <col min="2583" max="2583" width="11.140625" style="9" customWidth="1"/>
    <col min="2584" max="2584" width="15.42578125" style="9" customWidth="1"/>
    <col min="2585" max="2586" width="0" style="9" hidden="1" customWidth="1"/>
    <col min="2587" max="2587" width="15" style="9" customWidth="1"/>
    <col min="2588" max="2588" width="9.42578125" style="9" customWidth="1"/>
    <col min="2589" max="2589" width="10.5703125" style="9" customWidth="1"/>
    <col min="2590" max="2590" width="9.5703125" style="9" customWidth="1"/>
    <col min="2591" max="2591" width="11.42578125" style="9" customWidth="1"/>
    <col min="2592" max="2592" width="9.140625" style="9"/>
    <col min="2593" max="2593" width="12.5703125" style="9" bestFit="1" customWidth="1"/>
    <col min="2594" max="2594" width="20.140625" style="9" bestFit="1" customWidth="1"/>
    <col min="2595" max="2816" width="9.140625" style="9"/>
    <col min="2817" max="2817" width="5.42578125" style="9" customWidth="1"/>
    <col min="2818" max="2818" width="45.140625" style="9" customWidth="1"/>
    <col min="2819" max="2819" width="15.140625" style="9" customWidth="1"/>
    <col min="2820" max="2820" width="16.42578125" style="9" customWidth="1"/>
    <col min="2821" max="2821" width="17.140625" style="9" customWidth="1"/>
    <col min="2822" max="2824" width="0" style="9" hidden="1" customWidth="1"/>
    <col min="2825" max="2826" width="15.85546875" style="9" customWidth="1"/>
    <col min="2827" max="2827" width="11.140625" style="9" customWidth="1"/>
    <col min="2828" max="2828" width="11.85546875" style="9" customWidth="1"/>
    <col min="2829" max="2829" width="10.42578125" style="9" customWidth="1"/>
    <col min="2830" max="2830" width="16.42578125" style="9" customWidth="1"/>
    <col min="2831" max="2831" width="14.140625" style="9" customWidth="1"/>
    <col min="2832" max="2832" width="15.85546875" style="9" customWidth="1"/>
    <col min="2833" max="2834" width="0" style="9" hidden="1" customWidth="1"/>
    <col min="2835" max="2835" width="11.85546875" style="9" customWidth="1"/>
    <col min="2836" max="2836" width="15.85546875" style="9" customWidth="1"/>
    <col min="2837" max="2837" width="15.42578125" style="9" customWidth="1"/>
    <col min="2838" max="2838" width="12.42578125" style="9" customWidth="1"/>
    <col min="2839" max="2839" width="11.140625" style="9" customWidth="1"/>
    <col min="2840" max="2840" width="15.42578125" style="9" customWidth="1"/>
    <col min="2841" max="2842" width="0" style="9" hidden="1" customWidth="1"/>
    <col min="2843" max="2843" width="15" style="9" customWidth="1"/>
    <col min="2844" max="2844" width="9.42578125" style="9" customWidth="1"/>
    <col min="2845" max="2845" width="10.5703125" style="9" customWidth="1"/>
    <col min="2846" max="2846" width="9.5703125" style="9" customWidth="1"/>
    <col min="2847" max="2847" width="11.42578125" style="9" customWidth="1"/>
    <col min="2848" max="2848" width="9.140625" style="9"/>
    <col min="2849" max="2849" width="12.5703125" style="9" bestFit="1" customWidth="1"/>
    <col min="2850" max="2850" width="20.140625" style="9" bestFit="1" customWidth="1"/>
    <col min="2851" max="3072" width="9.140625" style="9"/>
    <col min="3073" max="3073" width="5.42578125" style="9" customWidth="1"/>
    <col min="3074" max="3074" width="45.140625" style="9" customWidth="1"/>
    <col min="3075" max="3075" width="15.140625" style="9" customWidth="1"/>
    <col min="3076" max="3076" width="16.42578125" style="9" customWidth="1"/>
    <col min="3077" max="3077" width="17.140625" style="9" customWidth="1"/>
    <col min="3078" max="3080" width="0" style="9" hidden="1" customWidth="1"/>
    <col min="3081" max="3082" width="15.85546875" style="9" customWidth="1"/>
    <col min="3083" max="3083" width="11.140625" style="9" customWidth="1"/>
    <col min="3084" max="3084" width="11.85546875" style="9" customWidth="1"/>
    <col min="3085" max="3085" width="10.42578125" style="9" customWidth="1"/>
    <col min="3086" max="3086" width="16.42578125" style="9" customWidth="1"/>
    <col min="3087" max="3087" width="14.140625" style="9" customWidth="1"/>
    <col min="3088" max="3088" width="15.85546875" style="9" customWidth="1"/>
    <col min="3089" max="3090" width="0" style="9" hidden="1" customWidth="1"/>
    <col min="3091" max="3091" width="11.85546875" style="9" customWidth="1"/>
    <col min="3092" max="3092" width="15.85546875" style="9" customWidth="1"/>
    <col min="3093" max="3093" width="15.42578125" style="9" customWidth="1"/>
    <col min="3094" max="3094" width="12.42578125" style="9" customWidth="1"/>
    <col min="3095" max="3095" width="11.140625" style="9" customWidth="1"/>
    <col min="3096" max="3096" width="15.42578125" style="9" customWidth="1"/>
    <col min="3097" max="3098" width="0" style="9" hidden="1" customWidth="1"/>
    <col min="3099" max="3099" width="15" style="9" customWidth="1"/>
    <col min="3100" max="3100" width="9.42578125" style="9" customWidth="1"/>
    <col min="3101" max="3101" width="10.5703125" style="9" customWidth="1"/>
    <col min="3102" max="3102" width="9.5703125" style="9" customWidth="1"/>
    <col min="3103" max="3103" width="11.42578125" style="9" customWidth="1"/>
    <col min="3104" max="3104" width="9.140625" style="9"/>
    <col min="3105" max="3105" width="12.5703125" style="9" bestFit="1" customWidth="1"/>
    <col min="3106" max="3106" width="20.140625" style="9" bestFit="1" customWidth="1"/>
    <col min="3107" max="3328" width="9.140625" style="9"/>
    <col min="3329" max="3329" width="5.42578125" style="9" customWidth="1"/>
    <col min="3330" max="3330" width="45.140625" style="9" customWidth="1"/>
    <col min="3331" max="3331" width="15.140625" style="9" customWidth="1"/>
    <col min="3332" max="3332" width="16.42578125" style="9" customWidth="1"/>
    <col min="3333" max="3333" width="17.140625" style="9" customWidth="1"/>
    <col min="3334" max="3336" width="0" style="9" hidden="1" customWidth="1"/>
    <col min="3337" max="3338" width="15.85546875" style="9" customWidth="1"/>
    <col min="3339" max="3339" width="11.140625" style="9" customWidth="1"/>
    <col min="3340" max="3340" width="11.85546875" style="9" customWidth="1"/>
    <col min="3341" max="3341" width="10.42578125" style="9" customWidth="1"/>
    <col min="3342" max="3342" width="16.42578125" style="9" customWidth="1"/>
    <col min="3343" max="3343" width="14.140625" style="9" customWidth="1"/>
    <col min="3344" max="3344" width="15.85546875" style="9" customWidth="1"/>
    <col min="3345" max="3346" width="0" style="9" hidden="1" customWidth="1"/>
    <col min="3347" max="3347" width="11.85546875" style="9" customWidth="1"/>
    <col min="3348" max="3348" width="15.85546875" style="9" customWidth="1"/>
    <col min="3349" max="3349" width="15.42578125" style="9" customWidth="1"/>
    <col min="3350" max="3350" width="12.42578125" style="9" customWidth="1"/>
    <col min="3351" max="3351" width="11.140625" style="9" customWidth="1"/>
    <col min="3352" max="3352" width="15.42578125" style="9" customWidth="1"/>
    <col min="3353" max="3354" width="0" style="9" hidden="1" customWidth="1"/>
    <col min="3355" max="3355" width="15" style="9" customWidth="1"/>
    <col min="3356" max="3356" width="9.42578125" style="9" customWidth="1"/>
    <col min="3357" max="3357" width="10.5703125" style="9" customWidth="1"/>
    <col min="3358" max="3358" width="9.5703125" style="9" customWidth="1"/>
    <col min="3359" max="3359" width="11.42578125" style="9" customWidth="1"/>
    <col min="3360" max="3360" width="9.140625" style="9"/>
    <col min="3361" max="3361" width="12.5703125" style="9" bestFit="1" customWidth="1"/>
    <col min="3362" max="3362" width="20.140625" style="9" bestFit="1" customWidth="1"/>
    <col min="3363" max="3584" width="9.140625" style="9"/>
    <col min="3585" max="3585" width="5.42578125" style="9" customWidth="1"/>
    <col min="3586" max="3586" width="45.140625" style="9" customWidth="1"/>
    <col min="3587" max="3587" width="15.140625" style="9" customWidth="1"/>
    <col min="3588" max="3588" width="16.42578125" style="9" customWidth="1"/>
    <col min="3589" max="3589" width="17.140625" style="9" customWidth="1"/>
    <col min="3590" max="3592" width="0" style="9" hidden="1" customWidth="1"/>
    <col min="3593" max="3594" width="15.85546875" style="9" customWidth="1"/>
    <col min="3595" max="3595" width="11.140625" style="9" customWidth="1"/>
    <col min="3596" max="3596" width="11.85546875" style="9" customWidth="1"/>
    <col min="3597" max="3597" width="10.42578125" style="9" customWidth="1"/>
    <col min="3598" max="3598" width="16.42578125" style="9" customWidth="1"/>
    <col min="3599" max="3599" width="14.140625" style="9" customWidth="1"/>
    <col min="3600" max="3600" width="15.85546875" style="9" customWidth="1"/>
    <col min="3601" max="3602" width="0" style="9" hidden="1" customWidth="1"/>
    <col min="3603" max="3603" width="11.85546875" style="9" customWidth="1"/>
    <col min="3604" max="3604" width="15.85546875" style="9" customWidth="1"/>
    <col min="3605" max="3605" width="15.42578125" style="9" customWidth="1"/>
    <col min="3606" max="3606" width="12.42578125" style="9" customWidth="1"/>
    <col min="3607" max="3607" width="11.140625" style="9" customWidth="1"/>
    <col min="3608" max="3608" width="15.42578125" style="9" customWidth="1"/>
    <col min="3609" max="3610" width="0" style="9" hidden="1" customWidth="1"/>
    <col min="3611" max="3611" width="15" style="9" customWidth="1"/>
    <col min="3612" max="3612" width="9.42578125" style="9" customWidth="1"/>
    <col min="3613" max="3613" width="10.5703125" style="9" customWidth="1"/>
    <col min="3614" max="3614" width="9.5703125" style="9" customWidth="1"/>
    <col min="3615" max="3615" width="11.42578125" style="9" customWidth="1"/>
    <col min="3616" max="3616" width="9.140625" style="9"/>
    <col min="3617" max="3617" width="12.5703125" style="9" bestFit="1" customWidth="1"/>
    <col min="3618" max="3618" width="20.140625" style="9" bestFit="1" customWidth="1"/>
    <col min="3619" max="3840" width="9.140625" style="9"/>
    <col min="3841" max="3841" width="5.42578125" style="9" customWidth="1"/>
    <col min="3842" max="3842" width="45.140625" style="9" customWidth="1"/>
    <col min="3843" max="3843" width="15.140625" style="9" customWidth="1"/>
    <col min="3844" max="3844" width="16.42578125" style="9" customWidth="1"/>
    <col min="3845" max="3845" width="17.140625" style="9" customWidth="1"/>
    <col min="3846" max="3848" width="0" style="9" hidden="1" customWidth="1"/>
    <col min="3849" max="3850" width="15.85546875" style="9" customWidth="1"/>
    <col min="3851" max="3851" width="11.140625" style="9" customWidth="1"/>
    <col min="3852" max="3852" width="11.85546875" style="9" customWidth="1"/>
    <col min="3853" max="3853" width="10.42578125" style="9" customWidth="1"/>
    <col min="3854" max="3854" width="16.42578125" style="9" customWidth="1"/>
    <col min="3855" max="3855" width="14.140625" style="9" customWidth="1"/>
    <col min="3856" max="3856" width="15.85546875" style="9" customWidth="1"/>
    <col min="3857" max="3858" width="0" style="9" hidden="1" customWidth="1"/>
    <col min="3859" max="3859" width="11.85546875" style="9" customWidth="1"/>
    <col min="3860" max="3860" width="15.85546875" style="9" customWidth="1"/>
    <col min="3861" max="3861" width="15.42578125" style="9" customWidth="1"/>
    <col min="3862" max="3862" width="12.42578125" style="9" customWidth="1"/>
    <col min="3863" max="3863" width="11.140625" style="9" customWidth="1"/>
    <col min="3864" max="3864" width="15.42578125" style="9" customWidth="1"/>
    <col min="3865" max="3866" width="0" style="9" hidden="1" customWidth="1"/>
    <col min="3867" max="3867" width="15" style="9" customWidth="1"/>
    <col min="3868" max="3868" width="9.42578125" style="9" customWidth="1"/>
    <col min="3869" max="3869" width="10.5703125" style="9" customWidth="1"/>
    <col min="3870" max="3870" width="9.5703125" style="9" customWidth="1"/>
    <col min="3871" max="3871" width="11.42578125" style="9" customWidth="1"/>
    <col min="3872" max="3872" width="9.140625" style="9"/>
    <col min="3873" max="3873" width="12.5703125" style="9" bestFit="1" customWidth="1"/>
    <col min="3874" max="3874" width="20.140625" style="9" bestFit="1" customWidth="1"/>
    <col min="3875" max="4096" width="9.140625" style="9"/>
    <col min="4097" max="4097" width="5.42578125" style="9" customWidth="1"/>
    <col min="4098" max="4098" width="45.140625" style="9" customWidth="1"/>
    <col min="4099" max="4099" width="15.140625" style="9" customWidth="1"/>
    <col min="4100" max="4100" width="16.42578125" style="9" customWidth="1"/>
    <col min="4101" max="4101" width="17.140625" style="9" customWidth="1"/>
    <col min="4102" max="4104" width="0" style="9" hidden="1" customWidth="1"/>
    <col min="4105" max="4106" width="15.85546875" style="9" customWidth="1"/>
    <col min="4107" max="4107" width="11.140625" style="9" customWidth="1"/>
    <col min="4108" max="4108" width="11.85546875" style="9" customWidth="1"/>
    <col min="4109" max="4109" width="10.42578125" style="9" customWidth="1"/>
    <col min="4110" max="4110" width="16.42578125" style="9" customWidth="1"/>
    <col min="4111" max="4111" width="14.140625" style="9" customWidth="1"/>
    <col min="4112" max="4112" width="15.85546875" style="9" customWidth="1"/>
    <col min="4113" max="4114" width="0" style="9" hidden="1" customWidth="1"/>
    <col min="4115" max="4115" width="11.85546875" style="9" customWidth="1"/>
    <col min="4116" max="4116" width="15.85546875" style="9" customWidth="1"/>
    <col min="4117" max="4117" width="15.42578125" style="9" customWidth="1"/>
    <col min="4118" max="4118" width="12.42578125" style="9" customWidth="1"/>
    <col min="4119" max="4119" width="11.140625" style="9" customWidth="1"/>
    <col min="4120" max="4120" width="15.42578125" style="9" customWidth="1"/>
    <col min="4121" max="4122" width="0" style="9" hidden="1" customWidth="1"/>
    <col min="4123" max="4123" width="15" style="9" customWidth="1"/>
    <col min="4124" max="4124" width="9.42578125" style="9" customWidth="1"/>
    <col min="4125" max="4125" width="10.5703125" style="9" customWidth="1"/>
    <col min="4126" max="4126" width="9.5703125" style="9" customWidth="1"/>
    <col min="4127" max="4127" width="11.42578125" style="9" customWidth="1"/>
    <col min="4128" max="4128" width="9.140625" style="9"/>
    <col min="4129" max="4129" width="12.5703125" style="9" bestFit="1" customWidth="1"/>
    <col min="4130" max="4130" width="20.140625" style="9" bestFit="1" customWidth="1"/>
    <col min="4131" max="4352" width="9.140625" style="9"/>
    <col min="4353" max="4353" width="5.42578125" style="9" customWidth="1"/>
    <col min="4354" max="4354" width="45.140625" style="9" customWidth="1"/>
    <col min="4355" max="4355" width="15.140625" style="9" customWidth="1"/>
    <col min="4356" max="4356" width="16.42578125" style="9" customWidth="1"/>
    <col min="4357" max="4357" width="17.140625" style="9" customWidth="1"/>
    <col min="4358" max="4360" width="0" style="9" hidden="1" customWidth="1"/>
    <col min="4361" max="4362" width="15.85546875" style="9" customWidth="1"/>
    <col min="4363" max="4363" width="11.140625" style="9" customWidth="1"/>
    <col min="4364" max="4364" width="11.85546875" style="9" customWidth="1"/>
    <col min="4365" max="4365" width="10.42578125" style="9" customWidth="1"/>
    <col min="4366" max="4366" width="16.42578125" style="9" customWidth="1"/>
    <col min="4367" max="4367" width="14.140625" style="9" customWidth="1"/>
    <col min="4368" max="4368" width="15.85546875" style="9" customWidth="1"/>
    <col min="4369" max="4370" width="0" style="9" hidden="1" customWidth="1"/>
    <col min="4371" max="4371" width="11.85546875" style="9" customWidth="1"/>
    <col min="4372" max="4372" width="15.85546875" style="9" customWidth="1"/>
    <col min="4373" max="4373" width="15.42578125" style="9" customWidth="1"/>
    <col min="4374" max="4374" width="12.42578125" style="9" customWidth="1"/>
    <col min="4375" max="4375" width="11.140625" style="9" customWidth="1"/>
    <col min="4376" max="4376" width="15.42578125" style="9" customWidth="1"/>
    <col min="4377" max="4378" width="0" style="9" hidden="1" customWidth="1"/>
    <col min="4379" max="4379" width="15" style="9" customWidth="1"/>
    <col min="4380" max="4380" width="9.42578125" style="9" customWidth="1"/>
    <col min="4381" max="4381" width="10.5703125" style="9" customWidth="1"/>
    <col min="4382" max="4382" width="9.5703125" style="9" customWidth="1"/>
    <col min="4383" max="4383" width="11.42578125" style="9" customWidth="1"/>
    <col min="4384" max="4384" width="9.140625" style="9"/>
    <col min="4385" max="4385" width="12.5703125" style="9" bestFit="1" customWidth="1"/>
    <col min="4386" max="4386" width="20.140625" style="9" bestFit="1" customWidth="1"/>
    <col min="4387" max="4608" width="9.140625" style="9"/>
    <col min="4609" max="4609" width="5.42578125" style="9" customWidth="1"/>
    <col min="4610" max="4610" width="45.140625" style="9" customWidth="1"/>
    <col min="4611" max="4611" width="15.140625" style="9" customWidth="1"/>
    <col min="4612" max="4612" width="16.42578125" style="9" customWidth="1"/>
    <col min="4613" max="4613" width="17.140625" style="9" customWidth="1"/>
    <col min="4614" max="4616" width="0" style="9" hidden="1" customWidth="1"/>
    <col min="4617" max="4618" width="15.85546875" style="9" customWidth="1"/>
    <col min="4619" max="4619" width="11.140625" style="9" customWidth="1"/>
    <col min="4620" max="4620" width="11.85546875" style="9" customWidth="1"/>
    <col min="4621" max="4621" width="10.42578125" style="9" customWidth="1"/>
    <col min="4622" max="4622" width="16.42578125" style="9" customWidth="1"/>
    <col min="4623" max="4623" width="14.140625" style="9" customWidth="1"/>
    <col min="4624" max="4624" width="15.85546875" style="9" customWidth="1"/>
    <col min="4625" max="4626" width="0" style="9" hidden="1" customWidth="1"/>
    <col min="4627" max="4627" width="11.85546875" style="9" customWidth="1"/>
    <col min="4628" max="4628" width="15.85546875" style="9" customWidth="1"/>
    <col min="4629" max="4629" width="15.42578125" style="9" customWidth="1"/>
    <col min="4630" max="4630" width="12.42578125" style="9" customWidth="1"/>
    <col min="4631" max="4631" width="11.140625" style="9" customWidth="1"/>
    <col min="4632" max="4632" width="15.42578125" style="9" customWidth="1"/>
    <col min="4633" max="4634" width="0" style="9" hidden="1" customWidth="1"/>
    <col min="4635" max="4635" width="15" style="9" customWidth="1"/>
    <col min="4636" max="4636" width="9.42578125" style="9" customWidth="1"/>
    <col min="4637" max="4637" width="10.5703125" style="9" customWidth="1"/>
    <col min="4638" max="4638" width="9.5703125" style="9" customWidth="1"/>
    <col min="4639" max="4639" width="11.42578125" style="9" customWidth="1"/>
    <col min="4640" max="4640" width="9.140625" style="9"/>
    <col min="4641" max="4641" width="12.5703125" style="9" bestFit="1" customWidth="1"/>
    <col min="4642" max="4642" width="20.140625" style="9" bestFit="1" customWidth="1"/>
    <col min="4643" max="4864" width="9.140625" style="9"/>
    <col min="4865" max="4865" width="5.42578125" style="9" customWidth="1"/>
    <col min="4866" max="4866" width="45.140625" style="9" customWidth="1"/>
    <col min="4867" max="4867" width="15.140625" style="9" customWidth="1"/>
    <col min="4868" max="4868" width="16.42578125" style="9" customWidth="1"/>
    <col min="4869" max="4869" width="17.140625" style="9" customWidth="1"/>
    <col min="4870" max="4872" width="0" style="9" hidden="1" customWidth="1"/>
    <col min="4873" max="4874" width="15.85546875" style="9" customWidth="1"/>
    <col min="4875" max="4875" width="11.140625" style="9" customWidth="1"/>
    <col min="4876" max="4876" width="11.85546875" style="9" customWidth="1"/>
    <col min="4877" max="4877" width="10.42578125" style="9" customWidth="1"/>
    <col min="4878" max="4878" width="16.42578125" style="9" customWidth="1"/>
    <col min="4879" max="4879" width="14.140625" style="9" customWidth="1"/>
    <col min="4880" max="4880" width="15.85546875" style="9" customWidth="1"/>
    <col min="4881" max="4882" width="0" style="9" hidden="1" customWidth="1"/>
    <col min="4883" max="4883" width="11.85546875" style="9" customWidth="1"/>
    <col min="4884" max="4884" width="15.85546875" style="9" customWidth="1"/>
    <col min="4885" max="4885" width="15.42578125" style="9" customWidth="1"/>
    <col min="4886" max="4886" width="12.42578125" style="9" customWidth="1"/>
    <col min="4887" max="4887" width="11.140625" style="9" customWidth="1"/>
    <col min="4888" max="4888" width="15.42578125" style="9" customWidth="1"/>
    <col min="4889" max="4890" width="0" style="9" hidden="1" customWidth="1"/>
    <col min="4891" max="4891" width="15" style="9" customWidth="1"/>
    <col min="4892" max="4892" width="9.42578125" style="9" customWidth="1"/>
    <col min="4893" max="4893" width="10.5703125" style="9" customWidth="1"/>
    <col min="4894" max="4894" width="9.5703125" style="9" customWidth="1"/>
    <col min="4895" max="4895" width="11.42578125" style="9" customWidth="1"/>
    <col min="4896" max="4896" width="9.140625" style="9"/>
    <col min="4897" max="4897" width="12.5703125" style="9" bestFit="1" customWidth="1"/>
    <col min="4898" max="4898" width="20.140625" style="9" bestFit="1" customWidth="1"/>
    <col min="4899" max="5120" width="9.140625" style="9"/>
    <col min="5121" max="5121" width="5.42578125" style="9" customWidth="1"/>
    <col min="5122" max="5122" width="45.140625" style="9" customWidth="1"/>
    <col min="5123" max="5123" width="15.140625" style="9" customWidth="1"/>
    <col min="5124" max="5124" width="16.42578125" style="9" customWidth="1"/>
    <col min="5125" max="5125" width="17.140625" style="9" customWidth="1"/>
    <col min="5126" max="5128" width="0" style="9" hidden="1" customWidth="1"/>
    <col min="5129" max="5130" width="15.85546875" style="9" customWidth="1"/>
    <col min="5131" max="5131" width="11.140625" style="9" customWidth="1"/>
    <col min="5132" max="5132" width="11.85546875" style="9" customWidth="1"/>
    <col min="5133" max="5133" width="10.42578125" style="9" customWidth="1"/>
    <col min="5134" max="5134" width="16.42578125" style="9" customWidth="1"/>
    <col min="5135" max="5135" width="14.140625" style="9" customWidth="1"/>
    <col min="5136" max="5136" width="15.85546875" style="9" customWidth="1"/>
    <col min="5137" max="5138" width="0" style="9" hidden="1" customWidth="1"/>
    <col min="5139" max="5139" width="11.85546875" style="9" customWidth="1"/>
    <col min="5140" max="5140" width="15.85546875" style="9" customWidth="1"/>
    <col min="5141" max="5141" width="15.42578125" style="9" customWidth="1"/>
    <col min="5142" max="5142" width="12.42578125" style="9" customWidth="1"/>
    <col min="5143" max="5143" width="11.140625" style="9" customWidth="1"/>
    <col min="5144" max="5144" width="15.42578125" style="9" customWidth="1"/>
    <col min="5145" max="5146" width="0" style="9" hidden="1" customWidth="1"/>
    <col min="5147" max="5147" width="15" style="9" customWidth="1"/>
    <col min="5148" max="5148" width="9.42578125" style="9" customWidth="1"/>
    <col min="5149" max="5149" width="10.5703125" style="9" customWidth="1"/>
    <col min="5150" max="5150" width="9.5703125" style="9" customWidth="1"/>
    <col min="5151" max="5151" width="11.42578125" style="9" customWidth="1"/>
    <col min="5152" max="5152" width="9.140625" style="9"/>
    <col min="5153" max="5153" width="12.5703125" style="9" bestFit="1" customWidth="1"/>
    <col min="5154" max="5154" width="20.140625" style="9" bestFit="1" customWidth="1"/>
    <col min="5155" max="5376" width="9.140625" style="9"/>
    <col min="5377" max="5377" width="5.42578125" style="9" customWidth="1"/>
    <col min="5378" max="5378" width="45.140625" style="9" customWidth="1"/>
    <col min="5379" max="5379" width="15.140625" style="9" customWidth="1"/>
    <col min="5380" max="5380" width="16.42578125" style="9" customWidth="1"/>
    <col min="5381" max="5381" width="17.140625" style="9" customWidth="1"/>
    <col min="5382" max="5384" width="0" style="9" hidden="1" customWidth="1"/>
    <col min="5385" max="5386" width="15.85546875" style="9" customWidth="1"/>
    <col min="5387" max="5387" width="11.140625" style="9" customWidth="1"/>
    <col min="5388" max="5388" width="11.85546875" style="9" customWidth="1"/>
    <col min="5389" max="5389" width="10.42578125" style="9" customWidth="1"/>
    <col min="5390" max="5390" width="16.42578125" style="9" customWidth="1"/>
    <col min="5391" max="5391" width="14.140625" style="9" customWidth="1"/>
    <col min="5392" max="5392" width="15.85546875" style="9" customWidth="1"/>
    <col min="5393" max="5394" width="0" style="9" hidden="1" customWidth="1"/>
    <col min="5395" max="5395" width="11.85546875" style="9" customWidth="1"/>
    <col min="5396" max="5396" width="15.85546875" style="9" customWidth="1"/>
    <col min="5397" max="5397" width="15.42578125" style="9" customWidth="1"/>
    <col min="5398" max="5398" width="12.42578125" style="9" customWidth="1"/>
    <col min="5399" max="5399" width="11.140625" style="9" customWidth="1"/>
    <col min="5400" max="5400" width="15.42578125" style="9" customWidth="1"/>
    <col min="5401" max="5402" width="0" style="9" hidden="1" customWidth="1"/>
    <col min="5403" max="5403" width="15" style="9" customWidth="1"/>
    <col min="5404" max="5404" width="9.42578125" style="9" customWidth="1"/>
    <col min="5405" max="5405" width="10.5703125" style="9" customWidth="1"/>
    <col min="5406" max="5406" width="9.5703125" style="9" customWidth="1"/>
    <col min="5407" max="5407" width="11.42578125" style="9" customWidth="1"/>
    <col min="5408" max="5408" width="9.140625" style="9"/>
    <col min="5409" max="5409" width="12.5703125" style="9" bestFit="1" customWidth="1"/>
    <col min="5410" max="5410" width="20.140625" style="9" bestFit="1" customWidth="1"/>
    <col min="5411" max="5632" width="9.140625" style="9"/>
    <col min="5633" max="5633" width="5.42578125" style="9" customWidth="1"/>
    <col min="5634" max="5634" width="45.140625" style="9" customWidth="1"/>
    <col min="5635" max="5635" width="15.140625" style="9" customWidth="1"/>
    <col min="5636" max="5636" width="16.42578125" style="9" customWidth="1"/>
    <col min="5637" max="5637" width="17.140625" style="9" customWidth="1"/>
    <col min="5638" max="5640" width="0" style="9" hidden="1" customWidth="1"/>
    <col min="5641" max="5642" width="15.85546875" style="9" customWidth="1"/>
    <col min="5643" max="5643" width="11.140625" style="9" customWidth="1"/>
    <col min="5644" max="5644" width="11.85546875" style="9" customWidth="1"/>
    <col min="5645" max="5645" width="10.42578125" style="9" customWidth="1"/>
    <col min="5646" max="5646" width="16.42578125" style="9" customWidth="1"/>
    <col min="5647" max="5647" width="14.140625" style="9" customWidth="1"/>
    <col min="5648" max="5648" width="15.85546875" style="9" customWidth="1"/>
    <col min="5649" max="5650" width="0" style="9" hidden="1" customWidth="1"/>
    <col min="5651" max="5651" width="11.85546875" style="9" customWidth="1"/>
    <col min="5652" max="5652" width="15.85546875" style="9" customWidth="1"/>
    <col min="5653" max="5653" width="15.42578125" style="9" customWidth="1"/>
    <col min="5654" max="5654" width="12.42578125" style="9" customWidth="1"/>
    <col min="5655" max="5655" width="11.140625" style="9" customWidth="1"/>
    <col min="5656" max="5656" width="15.42578125" style="9" customWidth="1"/>
    <col min="5657" max="5658" width="0" style="9" hidden="1" customWidth="1"/>
    <col min="5659" max="5659" width="15" style="9" customWidth="1"/>
    <col min="5660" max="5660" width="9.42578125" style="9" customWidth="1"/>
    <col min="5661" max="5661" width="10.5703125" style="9" customWidth="1"/>
    <col min="5662" max="5662" width="9.5703125" style="9" customWidth="1"/>
    <col min="5663" max="5663" width="11.42578125" style="9" customWidth="1"/>
    <col min="5664" max="5664" width="9.140625" style="9"/>
    <col min="5665" max="5665" width="12.5703125" style="9" bestFit="1" customWidth="1"/>
    <col min="5666" max="5666" width="20.140625" style="9" bestFit="1" customWidth="1"/>
    <col min="5667" max="5888" width="9.140625" style="9"/>
    <col min="5889" max="5889" width="5.42578125" style="9" customWidth="1"/>
    <col min="5890" max="5890" width="45.140625" style="9" customWidth="1"/>
    <col min="5891" max="5891" width="15.140625" style="9" customWidth="1"/>
    <col min="5892" max="5892" width="16.42578125" style="9" customWidth="1"/>
    <col min="5893" max="5893" width="17.140625" style="9" customWidth="1"/>
    <col min="5894" max="5896" width="0" style="9" hidden="1" customWidth="1"/>
    <col min="5897" max="5898" width="15.85546875" style="9" customWidth="1"/>
    <col min="5899" max="5899" width="11.140625" style="9" customWidth="1"/>
    <col min="5900" max="5900" width="11.85546875" style="9" customWidth="1"/>
    <col min="5901" max="5901" width="10.42578125" style="9" customWidth="1"/>
    <col min="5902" max="5902" width="16.42578125" style="9" customWidth="1"/>
    <col min="5903" max="5903" width="14.140625" style="9" customWidth="1"/>
    <col min="5904" max="5904" width="15.85546875" style="9" customWidth="1"/>
    <col min="5905" max="5906" width="0" style="9" hidden="1" customWidth="1"/>
    <col min="5907" max="5907" width="11.85546875" style="9" customWidth="1"/>
    <col min="5908" max="5908" width="15.85546875" style="9" customWidth="1"/>
    <col min="5909" max="5909" width="15.42578125" style="9" customWidth="1"/>
    <col min="5910" max="5910" width="12.42578125" style="9" customWidth="1"/>
    <col min="5911" max="5911" width="11.140625" style="9" customWidth="1"/>
    <col min="5912" max="5912" width="15.42578125" style="9" customWidth="1"/>
    <col min="5913" max="5914" width="0" style="9" hidden="1" customWidth="1"/>
    <col min="5915" max="5915" width="15" style="9" customWidth="1"/>
    <col min="5916" max="5916" width="9.42578125" style="9" customWidth="1"/>
    <col min="5917" max="5917" width="10.5703125" style="9" customWidth="1"/>
    <col min="5918" max="5918" width="9.5703125" style="9" customWidth="1"/>
    <col min="5919" max="5919" width="11.42578125" style="9" customWidth="1"/>
    <col min="5920" max="5920" width="9.140625" style="9"/>
    <col min="5921" max="5921" width="12.5703125" style="9" bestFit="1" customWidth="1"/>
    <col min="5922" max="5922" width="20.140625" style="9" bestFit="1" customWidth="1"/>
    <col min="5923" max="6144" width="9.140625" style="9"/>
    <col min="6145" max="6145" width="5.42578125" style="9" customWidth="1"/>
    <col min="6146" max="6146" width="45.140625" style="9" customWidth="1"/>
    <col min="6147" max="6147" width="15.140625" style="9" customWidth="1"/>
    <col min="6148" max="6148" width="16.42578125" style="9" customWidth="1"/>
    <col min="6149" max="6149" width="17.140625" style="9" customWidth="1"/>
    <col min="6150" max="6152" width="0" style="9" hidden="1" customWidth="1"/>
    <col min="6153" max="6154" width="15.85546875" style="9" customWidth="1"/>
    <col min="6155" max="6155" width="11.140625" style="9" customWidth="1"/>
    <col min="6156" max="6156" width="11.85546875" style="9" customWidth="1"/>
    <col min="6157" max="6157" width="10.42578125" style="9" customWidth="1"/>
    <col min="6158" max="6158" width="16.42578125" style="9" customWidth="1"/>
    <col min="6159" max="6159" width="14.140625" style="9" customWidth="1"/>
    <col min="6160" max="6160" width="15.85546875" style="9" customWidth="1"/>
    <col min="6161" max="6162" width="0" style="9" hidden="1" customWidth="1"/>
    <col min="6163" max="6163" width="11.85546875" style="9" customWidth="1"/>
    <col min="6164" max="6164" width="15.85546875" style="9" customWidth="1"/>
    <col min="6165" max="6165" width="15.42578125" style="9" customWidth="1"/>
    <col min="6166" max="6166" width="12.42578125" style="9" customWidth="1"/>
    <col min="6167" max="6167" width="11.140625" style="9" customWidth="1"/>
    <col min="6168" max="6168" width="15.42578125" style="9" customWidth="1"/>
    <col min="6169" max="6170" width="0" style="9" hidden="1" customWidth="1"/>
    <col min="6171" max="6171" width="15" style="9" customWidth="1"/>
    <col min="6172" max="6172" width="9.42578125" style="9" customWidth="1"/>
    <col min="6173" max="6173" width="10.5703125" style="9" customWidth="1"/>
    <col min="6174" max="6174" width="9.5703125" style="9" customWidth="1"/>
    <col min="6175" max="6175" width="11.42578125" style="9" customWidth="1"/>
    <col min="6176" max="6176" width="9.140625" style="9"/>
    <col min="6177" max="6177" width="12.5703125" style="9" bestFit="1" customWidth="1"/>
    <col min="6178" max="6178" width="20.140625" style="9" bestFit="1" customWidth="1"/>
    <col min="6179" max="6400" width="9.140625" style="9"/>
    <col min="6401" max="6401" width="5.42578125" style="9" customWidth="1"/>
    <col min="6402" max="6402" width="45.140625" style="9" customWidth="1"/>
    <col min="6403" max="6403" width="15.140625" style="9" customWidth="1"/>
    <col min="6404" max="6404" width="16.42578125" style="9" customWidth="1"/>
    <col min="6405" max="6405" width="17.140625" style="9" customWidth="1"/>
    <col min="6406" max="6408" width="0" style="9" hidden="1" customWidth="1"/>
    <col min="6409" max="6410" width="15.85546875" style="9" customWidth="1"/>
    <col min="6411" max="6411" width="11.140625" style="9" customWidth="1"/>
    <col min="6412" max="6412" width="11.85546875" style="9" customWidth="1"/>
    <col min="6413" max="6413" width="10.42578125" style="9" customWidth="1"/>
    <col min="6414" max="6414" width="16.42578125" style="9" customWidth="1"/>
    <col min="6415" max="6415" width="14.140625" style="9" customWidth="1"/>
    <col min="6416" max="6416" width="15.85546875" style="9" customWidth="1"/>
    <col min="6417" max="6418" width="0" style="9" hidden="1" customWidth="1"/>
    <col min="6419" max="6419" width="11.85546875" style="9" customWidth="1"/>
    <col min="6420" max="6420" width="15.85546875" style="9" customWidth="1"/>
    <col min="6421" max="6421" width="15.42578125" style="9" customWidth="1"/>
    <col min="6422" max="6422" width="12.42578125" style="9" customWidth="1"/>
    <col min="6423" max="6423" width="11.140625" style="9" customWidth="1"/>
    <col min="6424" max="6424" width="15.42578125" style="9" customWidth="1"/>
    <col min="6425" max="6426" width="0" style="9" hidden="1" customWidth="1"/>
    <col min="6427" max="6427" width="15" style="9" customWidth="1"/>
    <col min="6428" max="6428" width="9.42578125" style="9" customWidth="1"/>
    <col min="6429" max="6429" width="10.5703125" style="9" customWidth="1"/>
    <col min="6430" max="6430" width="9.5703125" style="9" customWidth="1"/>
    <col min="6431" max="6431" width="11.42578125" style="9" customWidth="1"/>
    <col min="6432" max="6432" width="9.140625" style="9"/>
    <col min="6433" max="6433" width="12.5703125" style="9" bestFit="1" customWidth="1"/>
    <col min="6434" max="6434" width="20.140625" style="9" bestFit="1" customWidth="1"/>
    <col min="6435" max="6656" width="9.140625" style="9"/>
    <col min="6657" max="6657" width="5.42578125" style="9" customWidth="1"/>
    <col min="6658" max="6658" width="45.140625" style="9" customWidth="1"/>
    <col min="6659" max="6659" width="15.140625" style="9" customWidth="1"/>
    <col min="6660" max="6660" width="16.42578125" style="9" customWidth="1"/>
    <col min="6661" max="6661" width="17.140625" style="9" customWidth="1"/>
    <col min="6662" max="6664" width="0" style="9" hidden="1" customWidth="1"/>
    <col min="6665" max="6666" width="15.85546875" style="9" customWidth="1"/>
    <col min="6667" max="6667" width="11.140625" style="9" customWidth="1"/>
    <col min="6668" max="6668" width="11.85546875" style="9" customWidth="1"/>
    <col min="6669" max="6669" width="10.42578125" style="9" customWidth="1"/>
    <col min="6670" max="6670" width="16.42578125" style="9" customWidth="1"/>
    <col min="6671" max="6671" width="14.140625" style="9" customWidth="1"/>
    <col min="6672" max="6672" width="15.85546875" style="9" customWidth="1"/>
    <col min="6673" max="6674" width="0" style="9" hidden="1" customWidth="1"/>
    <col min="6675" max="6675" width="11.85546875" style="9" customWidth="1"/>
    <col min="6676" max="6676" width="15.85546875" style="9" customWidth="1"/>
    <col min="6677" max="6677" width="15.42578125" style="9" customWidth="1"/>
    <col min="6678" max="6678" width="12.42578125" style="9" customWidth="1"/>
    <col min="6679" max="6679" width="11.140625" style="9" customWidth="1"/>
    <col min="6680" max="6680" width="15.42578125" style="9" customWidth="1"/>
    <col min="6681" max="6682" width="0" style="9" hidden="1" customWidth="1"/>
    <col min="6683" max="6683" width="15" style="9" customWidth="1"/>
    <col min="6684" max="6684" width="9.42578125" style="9" customWidth="1"/>
    <col min="6685" max="6685" width="10.5703125" style="9" customWidth="1"/>
    <col min="6686" max="6686" width="9.5703125" style="9" customWidth="1"/>
    <col min="6687" max="6687" width="11.42578125" style="9" customWidth="1"/>
    <col min="6688" max="6688" width="9.140625" style="9"/>
    <col min="6689" max="6689" width="12.5703125" style="9" bestFit="1" customWidth="1"/>
    <col min="6690" max="6690" width="20.140625" style="9" bestFit="1" customWidth="1"/>
    <col min="6691" max="6912" width="9.140625" style="9"/>
    <col min="6913" max="6913" width="5.42578125" style="9" customWidth="1"/>
    <col min="6914" max="6914" width="45.140625" style="9" customWidth="1"/>
    <col min="6915" max="6915" width="15.140625" style="9" customWidth="1"/>
    <col min="6916" max="6916" width="16.42578125" style="9" customWidth="1"/>
    <col min="6917" max="6917" width="17.140625" style="9" customWidth="1"/>
    <col min="6918" max="6920" width="0" style="9" hidden="1" customWidth="1"/>
    <col min="6921" max="6922" width="15.85546875" style="9" customWidth="1"/>
    <col min="6923" max="6923" width="11.140625" style="9" customWidth="1"/>
    <col min="6924" max="6924" width="11.85546875" style="9" customWidth="1"/>
    <col min="6925" max="6925" width="10.42578125" style="9" customWidth="1"/>
    <col min="6926" max="6926" width="16.42578125" style="9" customWidth="1"/>
    <col min="6927" max="6927" width="14.140625" style="9" customWidth="1"/>
    <col min="6928" max="6928" width="15.85546875" style="9" customWidth="1"/>
    <col min="6929" max="6930" width="0" style="9" hidden="1" customWidth="1"/>
    <col min="6931" max="6931" width="11.85546875" style="9" customWidth="1"/>
    <col min="6932" max="6932" width="15.85546875" style="9" customWidth="1"/>
    <col min="6933" max="6933" width="15.42578125" style="9" customWidth="1"/>
    <col min="6934" max="6934" width="12.42578125" style="9" customWidth="1"/>
    <col min="6935" max="6935" width="11.140625" style="9" customWidth="1"/>
    <col min="6936" max="6936" width="15.42578125" style="9" customWidth="1"/>
    <col min="6937" max="6938" width="0" style="9" hidden="1" customWidth="1"/>
    <col min="6939" max="6939" width="15" style="9" customWidth="1"/>
    <col min="6940" max="6940" width="9.42578125" style="9" customWidth="1"/>
    <col min="6941" max="6941" width="10.5703125" style="9" customWidth="1"/>
    <col min="6942" max="6942" width="9.5703125" style="9" customWidth="1"/>
    <col min="6943" max="6943" width="11.42578125" style="9" customWidth="1"/>
    <col min="6944" max="6944" width="9.140625" style="9"/>
    <col min="6945" max="6945" width="12.5703125" style="9" bestFit="1" customWidth="1"/>
    <col min="6946" max="6946" width="20.140625" style="9" bestFit="1" customWidth="1"/>
    <col min="6947" max="7168" width="9.140625" style="9"/>
    <col min="7169" max="7169" width="5.42578125" style="9" customWidth="1"/>
    <col min="7170" max="7170" width="45.140625" style="9" customWidth="1"/>
    <col min="7171" max="7171" width="15.140625" style="9" customWidth="1"/>
    <col min="7172" max="7172" width="16.42578125" style="9" customWidth="1"/>
    <col min="7173" max="7173" width="17.140625" style="9" customWidth="1"/>
    <col min="7174" max="7176" width="0" style="9" hidden="1" customWidth="1"/>
    <col min="7177" max="7178" width="15.85546875" style="9" customWidth="1"/>
    <col min="7179" max="7179" width="11.140625" style="9" customWidth="1"/>
    <col min="7180" max="7180" width="11.85546875" style="9" customWidth="1"/>
    <col min="7181" max="7181" width="10.42578125" style="9" customWidth="1"/>
    <col min="7182" max="7182" width="16.42578125" style="9" customWidth="1"/>
    <col min="7183" max="7183" width="14.140625" style="9" customWidth="1"/>
    <col min="7184" max="7184" width="15.85546875" style="9" customWidth="1"/>
    <col min="7185" max="7186" width="0" style="9" hidden="1" customWidth="1"/>
    <col min="7187" max="7187" width="11.85546875" style="9" customWidth="1"/>
    <col min="7188" max="7188" width="15.85546875" style="9" customWidth="1"/>
    <col min="7189" max="7189" width="15.42578125" style="9" customWidth="1"/>
    <col min="7190" max="7190" width="12.42578125" style="9" customWidth="1"/>
    <col min="7191" max="7191" width="11.140625" style="9" customWidth="1"/>
    <col min="7192" max="7192" width="15.42578125" style="9" customWidth="1"/>
    <col min="7193" max="7194" width="0" style="9" hidden="1" customWidth="1"/>
    <col min="7195" max="7195" width="15" style="9" customWidth="1"/>
    <col min="7196" max="7196" width="9.42578125" style="9" customWidth="1"/>
    <col min="7197" max="7197" width="10.5703125" style="9" customWidth="1"/>
    <col min="7198" max="7198" width="9.5703125" style="9" customWidth="1"/>
    <col min="7199" max="7199" width="11.42578125" style="9" customWidth="1"/>
    <col min="7200" max="7200" width="9.140625" style="9"/>
    <col min="7201" max="7201" width="12.5703125" style="9" bestFit="1" customWidth="1"/>
    <col min="7202" max="7202" width="20.140625" style="9" bestFit="1" customWidth="1"/>
    <col min="7203" max="7424" width="9.140625" style="9"/>
    <col min="7425" max="7425" width="5.42578125" style="9" customWidth="1"/>
    <col min="7426" max="7426" width="45.140625" style="9" customWidth="1"/>
    <col min="7427" max="7427" width="15.140625" style="9" customWidth="1"/>
    <col min="7428" max="7428" width="16.42578125" style="9" customWidth="1"/>
    <col min="7429" max="7429" width="17.140625" style="9" customWidth="1"/>
    <col min="7430" max="7432" width="0" style="9" hidden="1" customWidth="1"/>
    <col min="7433" max="7434" width="15.85546875" style="9" customWidth="1"/>
    <col min="7435" max="7435" width="11.140625" style="9" customWidth="1"/>
    <col min="7436" max="7436" width="11.85546875" style="9" customWidth="1"/>
    <col min="7437" max="7437" width="10.42578125" style="9" customWidth="1"/>
    <col min="7438" max="7438" width="16.42578125" style="9" customWidth="1"/>
    <col min="7439" max="7439" width="14.140625" style="9" customWidth="1"/>
    <col min="7440" max="7440" width="15.85546875" style="9" customWidth="1"/>
    <col min="7441" max="7442" width="0" style="9" hidden="1" customWidth="1"/>
    <col min="7443" max="7443" width="11.85546875" style="9" customWidth="1"/>
    <col min="7444" max="7444" width="15.85546875" style="9" customWidth="1"/>
    <col min="7445" max="7445" width="15.42578125" style="9" customWidth="1"/>
    <col min="7446" max="7446" width="12.42578125" style="9" customWidth="1"/>
    <col min="7447" max="7447" width="11.140625" style="9" customWidth="1"/>
    <col min="7448" max="7448" width="15.42578125" style="9" customWidth="1"/>
    <col min="7449" max="7450" width="0" style="9" hidden="1" customWidth="1"/>
    <col min="7451" max="7451" width="15" style="9" customWidth="1"/>
    <col min="7452" max="7452" width="9.42578125" style="9" customWidth="1"/>
    <col min="7453" max="7453" width="10.5703125" style="9" customWidth="1"/>
    <col min="7454" max="7454" width="9.5703125" style="9" customWidth="1"/>
    <col min="7455" max="7455" width="11.42578125" style="9" customWidth="1"/>
    <col min="7456" max="7456" width="9.140625" style="9"/>
    <col min="7457" max="7457" width="12.5703125" style="9" bestFit="1" customWidth="1"/>
    <col min="7458" max="7458" width="20.140625" style="9" bestFit="1" customWidth="1"/>
    <col min="7459" max="7680" width="9.140625" style="9"/>
    <col min="7681" max="7681" width="5.42578125" style="9" customWidth="1"/>
    <col min="7682" max="7682" width="45.140625" style="9" customWidth="1"/>
    <col min="7683" max="7683" width="15.140625" style="9" customWidth="1"/>
    <col min="7684" max="7684" width="16.42578125" style="9" customWidth="1"/>
    <col min="7685" max="7685" width="17.140625" style="9" customWidth="1"/>
    <col min="7686" max="7688" width="0" style="9" hidden="1" customWidth="1"/>
    <col min="7689" max="7690" width="15.85546875" style="9" customWidth="1"/>
    <col min="7691" max="7691" width="11.140625" style="9" customWidth="1"/>
    <col min="7692" max="7692" width="11.85546875" style="9" customWidth="1"/>
    <col min="7693" max="7693" width="10.42578125" style="9" customWidth="1"/>
    <col min="7694" max="7694" width="16.42578125" style="9" customWidth="1"/>
    <col min="7695" max="7695" width="14.140625" style="9" customWidth="1"/>
    <col min="7696" max="7696" width="15.85546875" style="9" customWidth="1"/>
    <col min="7697" max="7698" width="0" style="9" hidden="1" customWidth="1"/>
    <col min="7699" max="7699" width="11.85546875" style="9" customWidth="1"/>
    <col min="7700" max="7700" width="15.85546875" style="9" customWidth="1"/>
    <col min="7701" max="7701" width="15.42578125" style="9" customWidth="1"/>
    <col min="7702" max="7702" width="12.42578125" style="9" customWidth="1"/>
    <col min="7703" max="7703" width="11.140625" style="9" customWidth="1"/>
    <col min="7704" max="7704" width="15.42578125" style="9" customWidth="1"/>
    <col min="7705" max="7706" width="0" style="9" hidden="1" customWidth="1"/>
    <col min="7707" max="7707" width="15" style="9" customWidth="1"/>
    <col min="7708" max="7708" width="9.42578125" style="9" customWidth="1"/>
    <col min="7709" max="7709" width="10.5703125" style="9" customWidth="1"/>
    <col min="7710" max="7710" width="9.5703125" style="9" customWidth="1"/>
    <col min="7711" max="7711" width="11.42578125" style="9" customWidth="1"/>
    <col min="7712" max="7712" width="9.140625" style="9"/>
    <col min="7713" max="7713" width="12.5703125" style="9" bestFit="1" customWidth="1"/>
    <col min="7714" max="7714" width="20.140625" style="9" bestFit="1" customWidth="1"/>
    <col min="7715" max="7936" width="9.140625" style="9"/>
    <col min="7937" max="7937" width="5.42578125" style="9" customWidth="1"/>
    <col min="7938" max="7938" width="45.140625" style="9" customWidth="1"/>
    <col min="7939" max="7939" width="15.140625" style="9" customWidth="1"/>
    <col min="7940" max="7940" width="16.42578125" style="9" customWidth="1"/>
    <col min="7941" max="7941" width="17.140625" style="9" customWidth="1"/>
    <col min="7942" max="7944" width="0" style="9" hidden="1" customWidth="1"/>
    <col min="7945" max="7946" width="15.85546875" style="9" customWidth="1"/>
    <col min="7947" max="7947" width="11.140625" style="9" customWidth="1"/>
    <col min="7948" max="7948" width="11.85546875" style="9" customWidth="1"/>
    <col min="7949" max="7949" width="10.42578125" style="9" customWidth="1"/>
    <col min="7950" max="7950" width="16.42578125" style="9" customWidth="1"/>
    <col min="7951" max="7951" width="14.140625" style="9" customWidth="1"/>
    <col min="7952" max="7952" width="15.85546875" style="9" customWidth="1"/>
    <col min="7953" max="7954" width="0" style="9" hidden="1" customWidth="1"/>
    <col min="7955" max="7955" width="11.85546875" style="9" customWidth="1"/>
    <col min="7956" max="7956" width="15.85546875" style="9" customWidth="1"/>
    <col min="7957" max="7957" width="15.42578125" style="9" customWidth="1"/>
    <col min="7958" max="7958" width="12.42578125" style="9" customWidth="1"/>
    <col min="7959" max="7959" width="11.140625" style="9" customWidth="1"/>
    <col min="7960" max="7960" width="15.42578125" style="9" customWidth="1"/>
    <col min="7961" max="7962" width="0" style="9" hidden="1" customWidth="1"/>
    <col min="7963" max="7963" width="15" style="9" customWidth="1"/>
    <col min="7964" max="7964" width="9.42578125" style="9" customWidth="1"/>
    <col min="7965" max="7965" width="10.5703125" style="9" customWidth="1"/>
    <col min="7966" max="7966" width="9.5703125" style="9" customWidth="1"/>
    <col min="7967" max="7967" width="11.42578125" style="9" customWidth="1"/>
    <col min="7968" max="7968" width="9.140625" style="9"/>
    <col min="7969" max="7969" width="12.5703125" style="9" bestFit="1" customWidth="1"/>
    <col min="7970" max="7970" width="20.140625" style="9" bestFit="1" customWidth="1"/>
    <col min="7971" max="8192" width="9.140625" style="9"/>
    <col min="8193" max="8193" width="5.42578125" style="9" customWidth="1"/>
    <col min="8194" max="8194" width="45.140625" style="9" customWidth="1"/>
    <col min="8195" max="8195" width="15.140625" style="9" customWidth="1"/>
    <col min="8196" max="8196" width="16.42578125" style="9" customWidth="1"/>
    <col min="8197" max="8197" width="17.140625" style="9" customWidth="1"/>
    <col min="8198" max="8200" width="0" style="9" hidden="1" customWidth="1"/>
    <col min="8201" max="8202" width="15.85546875" style="9" customWidth="1"/>
    <col min="8203" max="8203" width="11.140625" style="9" customWidth="1"/>
    <col min="8204" max="8204" width="11.85546875" style="9" customWidth="1"/>
    <col min="8205" max="8205" width="10.42578125" style="9" customWidth="1"/>
    <col min="8206" max="8206" width="16.42578125" style="9" customWidth="1"/>
    <col min="8207" max="8207" width="14.140625" style="9" customWidth="1"/>
    <col min="8208" max="8208" width="15.85546875" style="9" customWidth="1"/>
    <col min="8209" max="8210" width="0" style="9" hidden="1" customWidth="1"/>
    <col min="8211" max="8211" width="11.85546875" style="9" customWidth="1"/>
    <col min="8212" max="8212" width="15.85546875" style="9" customWidth="1"/>
    <col min="8213" max="8213" width="15.42578125" style="9" customWidth="1"/>
    <col min="8214" max="8214" width="12.42578125" style="9" customWidth="1"/>
    <col min="8215" max="8215" width="11.140625" style="9" customWidth="1"/>
    <col min="8216" max="8216" width="15.42578125" style="9" customWidth="1"/>
    <col min="8217" max="8218" width="0" style="9" hidden="1" customWidth="1"/>
    <col min="8219" max="8219" width="15" style="9" customWidth="1"/>
    <col min="8220" max="8220" width="9.42578125" style="9" customWidth="1"/>
    <col min="8221" max="8221" width="10.5703125" style="9" customWidth="1"/>
    <col min="8222" max="8222" width="9.5703125" style="9" customWidth="1"/>
    <col min="8223" max="8223" width="11.42578125" style="9" customWidth="1"/>
    <col min="8224" max="8224" width="9.140625" style="9"/>
    <col min="8225" max="8225" width="12.5703125" style="9" bestFit="1" customWidth="1"/>
    <col min="8226" max="8226" width="20.140625" style="9" bestFit="1" customWidth="1"/>
    <col min="8227" max="8448" width="9.140625" style="9"/>
    <col min="8449" max="8449" width="5.42578125" style="9" customWidth="1"/>
    <col min="8450" max="8450" width="45.140625" style="9" customWidth="1"/>
    <col min="8451" max="8451" width="15.140625" style="9" customWidth="1"/>
    <col min="8452" max="8452" width="16.42578125" style="9" customWidth="1"/>
    <col min="8453" max="8453" width="17.140625" style="9" customWidth="1"/>
    <col min="8454" max="8456" width="0" style="9" hidden="1" customWidth="1"/>
    <col min="8457" max="8458" width="15.85546875" style="9" customWidth="1"/>
    <col min="8459" max="8459" width="11.140625" style="9" customWidth="1"/>
    <col min="8460" max="8460" width="11.85546875" style="9" customWidth="1"/>
    <col min="8461" max="8461" width="10.42578125" style="9" customWidth="1"/>
    <col min="8462" max="8462" width="16.42578125" style="9" customWidth="1"/>
    <col min="8463" max="8463" width="14.140625" style="9" customWidth="1"/>
    <col min="8464" max="8464" width="15.85546875" style="9" customWidth="1"/>
    <col min="8465" max="8466" width="0" style="9" hidden="1" customWidth="1"/>
    <col min="8467" max="8467" width="11.85546875" style="9" customWidth="1"/>
    <col min="8468" max="8468" width="15.85546875" style="9" customWidth="1"/>
    <col min="8469" max="8469" width="15.42578125" style="9" customWidth="1"/>
    <col min="8470" max="8470" width="12.42578125" style="9" customWidth="1"/>
    <col min="8471" max="8471" width="11.140625" style="9" customWidth="1"/>
    <col min="8472" max="8472" width="15.42578125" style="9" customWidth="1"/>
    <col min="8473" max="8474" width="0" style="9" hidden="1" customWidth="1"/>
    <col min="8475" max="8475" width="15" style="9" customWidth="1"/>
    <col min="8476" max="8476" width="9.42578125" style="9" customWidth="1"/>
    <col min="8477" max="8477" width="10.5703125" style="9" customWidth="1"/>
    <col min="8478" max="8478" width="9.5703125" style="9" customWidth="1"/>
    <col min="8479" max="8479" width="11.42578125" style="9" customWidth="1"/>
    <col min="8480" max="8480" width="9.140625" style="9"/>
    <col min="8481" max="8481" width="12.5703125" style="9" bestFit="1" customWidth="1"/>
    <col min="8482" max="8482" width="20.140625" style="9" bestFit="1" customWidth="1"/>
    <col min="8483" max="8704" width="9.140625" style="9"/>
    <col min="8705" max="8705" width="5.42578125" style="9" customWidth="1"/>
    <col min="8706" max="8706" width="45.140625" style="9" customWidth="1"/>
    <col min="8707" max="8707" width="15.140625" style="9" customWidth="1"/>
    <col min="8708" max="8708" width="16.42578125" style="9" customWidth="1"/>
    <col min="8709" max="8709" width="17.140625" style="9" customWidth="1"/>
    <col min="8710" max="8712" width="0" style="9" hidden="1" customWidth="1"/>
    <col min="8713" max="8714" width="15.85546875" style="9" customWidth="1"/>
    <col min="8715" max="8715" width="11.140625" style="9" customWidth="1"/>
    <col min="8716" max="8716" width="11.85546875" style="9" customWidth="1"/>
    <col min="8717" max="8717" width="10.42578125" style="9" customWidth="1"/>
    <col min="8718" max="8718" width="16.42578125" style="9" customWidth="1"/>
    <col min="8719" max="8719" width="14.140625" style="9" customWidth="1"/>
    <col min="8720" max="8720" width="15.85546875" style="9" customWidth="1"/>
    <col min="8721" max="8722" width="0" style="9" hidden="1" customWidth="1"/>
    <col min="8723" max="8723" width="11.85546875" style="9" customWidth="1"/>
    <col min="8724" max="8724" width="15.85546875" style="9" customWidth="1"/>
    <col min="8725" max="8725" width="15.42578125" style="9" customWidth="1"/>
    <col min="8726" max="8726" width="12.42578125" style="9" customWidth="1"/>
    <col min="8727" max="8727" width="11.140625" style="9" customWidth="1"/>
    <col min="8728" max="8728" width="15.42578125" style="9" customWidth="1"/>
    <col min="8729" max="8730" width="0" style="9" hidden="1" customWidth="1"/>
    <col min="8731" max="8731" width="15" style="9" customWidth="1"/>
    <col min="8732" max="8732" width="9.42578125" style="9" customWidth="1"/>
    <col min="8733" max="8733" width="10.5703125" style="9" customWidth="1"/>
    <col min="8734" max="8734" width="9.5703125" style="9" customWidth="1"/>
    <col min="8735" max="8735" width="11.42578125" style="9" customWidth="1"/>
    <col min="8736" max="8736" width="9.140625" style="9"/>
    <col min="8737" max="8737" width="12.5703125" style="9" bestFit="1" customWidth="1"/>
    <col min="8738" max="8738" width="20.140625" style="9" bestFit="1" customWidth="1"/>
    <col min="8739" max="8960" width="9.140625" style="9"/>
    <col min="8961" max="8961" width="5.42578125" style="9" customWidth="1"/>
    <col min="8962" max="8962" width="45.140625" style="9" customWidth="1"/>
    <col min="8963" max="8963" width="15.140625" style="9" customWidth="1"/>
    <col min="8964" max="8964" width="16.42578125" style="9" customWidth="1"/>
    <col min="8965" max="8965" width="17.140625" style="9" customWidth="1"/>
    <col min="8966" max="8968" width="0" style="9" hidden="1" customWidth="1"/>
    <col min="8969" max="8970" width="15.85546875" style="9" customWidth="1"/>
    <col min="8971" max="8971" width="11.140625" style="9" customWidth="1"/>
    <col min="8972" max="8972" width="11.85546875" style="9" customWidth="1"/>
    <col min="8973" max="8973" width="10.42578125" style="9" customWidth="1"/>
    <col min="8974" max="8974" width="16.42578125" style="9" customWidth="1"/>
    <col min="8975" max="8975" width="14.140625" style="9" customWidth="1"/>
    <col min="8976" max="8976" width="15.85546875" style="9" customWidth="1"/>
    <col min="8977" max="8978" width="0" style="9" hidden="1" customWidth="1"/>
    <col min="8979" max="8979" width="11.85546875" style="9" customWidth="1"/>
    <col min="8980" max="8980" width="15.85546875" style="9" customWidth="1"/>
    <col min="8981" max="8981" width="15.42578125" style="9" customWidth="1"/>
    <col min="8982" max="8982" width="12.42578125" style="9" customWidth="1"/>
    <col min="8983" max="8983" width="11.140625" style="9" customWidth="1"/>
    <col min="8984" max="8984" width="15.42578125" style="9" customWidth="1"/>
    <col min="8985" max="8986" width="0" style="9" hidden="1" customWidth="1"/>
    <col min="8987" max="8987" width="15" style="9" customWidth="1"/>
    <col min="8988" max="8988" width="9.42578125" style="9" customWidth="1"/>
    <col min="8989" max="8989" width="10.5703125" style="9" customWidth="1"/>
    <col min="8990" max="8990" width="9.5703125" style="9" customWidth="1"/>
    <col min="8991" max="8991" width="11.42578125" style="9" customWidth="1"/>
    <col min="8992" max="8992" width="9.140625" style="9"/>
    <col min="8993" max="8993" width="12.5703125" style="9" bestFit="1" customWidth="1"/>
    <col min="8994" max="8994" width="20.140625" style="9" bestFit="1" customWidth="1"/>
    <col min="8995" max="9216" width="9.140625" style="9"/>
    <col min="9217" max="9217" width="5.42578125" style="9" customWidth="1"/>
    <col min="9218" max="9218" width="45.140625" style="9" customWidth="1"/>
    <col min="9219" max="9219" width="15.140625" style="9" customWidth="1"/>
    <col min="9220" max="9220" width="16.42578125" style="9" customWidth="1"/>
    <col min="9221" max="9221" width="17.140625" style="9" customWidth="1"/>
    <col min="9222" max="9224" width="0" style="9" hidden="1" customWidth="1"/>
    <col min="9225" max="9226" width="15.85546875" style="9" customWidth="1"/>
    <col min="9227" max="9227" width="11.140625" style="9" customWidth="1"/>
    <col min="9228" max="9228" width="11.85546875" style="9" customWidth="1"/>
    <col min="9229" max="9229" width="10.42578125" style="9" customWidth="1"/>
    <col min="9230" max="9230" width="16.42578125" style="9" customWidth="1"/>
    <col min="9231" max="9231" width="14.140625" style="9" customWidth="1"/>
    <col min="9232" max="9232" width="15.85546875" style="9" customWidth="1"/>
    <col min="9233" max="9234" width="0" style="9" hidden="1" customWidth="1"/>
    <col min="9235" max="9235" width="11.85546875" style="9" customWidth="1"/>
    <col min="9236" max="9236" width="15.85546875" style="9" customWidth="1"/>
    <col min="9237" max="9237" width="15.42578125" style="9" customWidth="1"/>
    <col min="9238" max="9238" width="12.42578125" style="9" customWidth="1"/>
    <col min="9239" max="9239" width="11.140625" style="9" customWidth="1"/>
    <col min="9240" max="9240" width="15.42578125" style="9" customWidth="1"/>
    <col min="9241" max="9242" width="0" style="9" hidden="1" customWidth="1"/>
    <col min="9243" max="9243" width="15" style="9" customWidth="1"/>
    <col min="9244" max="9244" width="9.42578125" style="9" customWidth="1"/>
    <col min="9245" max="9245" width="10.5703125" style="9" customWidth="1"/>
    <col min="9246" max="9246" width="9.5703125" style="9" customWidth="1"/>
    <col min="9247" max="9247" width="11.42578125" style="9" customWidth="1"/>
    <col min="9248" max="9248" width="9.140625" style="9"/>
    <col min="9249" max="9249" width="12.5703125" style="9" bestFit="1" customWidth="1"/>
    <col min="9250" max="9250" width="20.140625" style="9" bestFit="1" customWidth="1"/>
    <col min="9251" max="9472" width="9.140625" style="9"/>
    <col min="9473" max="9473" width="5.42578125" style="9" customWidth="1"/>
    <col min="9474" max="9474" width="45.140625" style="9" customWidth="1"/>
    <col min="9475" max="9475" width="15.140625" style="9" customWidth="1"/>
    <col min="9476" max="9476" width="16.42578125" style="9" customWidth="1"/>
    <col min="9477" max="9477" width="17.140625" style="9" customWidth="1"/>
    <col min="9478" max="9480" width="0" style="9" hidden="1" customWidth="1"/>
    <col min="9481" max="9482" width="15.85546875" style="9" customWidth="1"/>
    <col min="9483" max="9483" width="11.140625" style="9" customWidth="1"/>
    <col min="9484" max="9484" width="11.85546875" style="9" customWidth="1"/>
    <col min="9485" max="9485" width="10.42578125" style="9" customWidth="1"/>
    <col min="9486" max="9486" width="16.42578125" style="9" customWidth="1"/>
    <col min="9487" max="9487" width="14.140625" style="9" customWidth="1"/>
    <col min="9488" max="9488" width="15.85546875" style="9" customWidth="1"/>
    <col min="9489" max="9490" width="0" style="9" hidden="1" customWidth="1"/>
    <col min="9491" max="9491" width="11.85546875" style="9" customWidth="1"/>
    <col min="9492" max="9492" width="15.85546875" style="9" customWidth="1"/>
    <col min="9493" max="9493" width="15.42578125" style="9" customWidth="1"/>
    <col min="9494" max="9494" width="12.42578125" style="9" customWidth="1"/>
    <col min="9495" max="9495" width="11.140625" style="9" customWidth="1"/>
    <col min="9496" max="9496" width="15.42578125" style="9" customWidth="1"/>
    <col min="9497" max="9498" width="0" style="9" hidden="1" customWidth="1"/>
    <col min="9499" max="9499" width="15" style="9" customWidth="1"/>
    <col min="9500" max="9500" width="9.42578125" style="9" customWidth="1"/>
    <col min="9501" max="9501" width="10.5703125" style="9" customWidth="1"/>
    <col min="9502" max="9502" width="9.5703125" style="9" customWidth="1"/>
    <col min="9503" max="9503" width="11.42578125" style="9" customWidth="1"/>
    <col min="9504" max="9504" width="9.140625" style="9"/>
    <col min="9505" max="9505" width="12.5703125" style="9" bestFit="1" customWidth="1"/>
    <col min="9506" max="9506" width="20.140625" style="9" bestFit="1" customWidth="1"/>
    <col min="9507" max="9728" width="9.140625" style="9"/>
    <col min="9729" max="9729" width="5.42578125" style="9" customWidth="1"/>
    <col min="9730" max="9730" width="45.140625" style="9" customWidth="1"/>
    <col min="9731" max="9731" width="15.140625" style="9" customWidth="1"/>
    <col min="9732" max="9732" width="16.42578125" style="9" customWidth="1"/>
    <col min="9733" max="9733" width="17.140625" style="9" customWidth="1"/>
    <col min="9734" max="9736" width="0" style="9" hidden="1" customWidth="1"/>
    <col min="9737" max="9738" width="15.85546875" style="9" customWidth="1"/>
    <col min="9739" max="9739" width="11.140625" style="9" customWidth="1"/>
    <col min="9740" max="9740" width="11.85546875" style="9" customWidth="1"/>
    <col min="9741" max="9741" width="10.42578125" style="9" customWidth="1"/>
    <col min="9742" max="9742" width="16.42578125" style="9" customWidth="1"/>
    <col min="9743" max="9743" width="14.140625" style="9" customWidth="1"/>
    <col min="9744" max="9744" width="15.85546875" style="9" customWidth="1"/>
    <col min="9745" max="9746" width="0" style="9" hidden="1" customWidth="1"/>
    <col min="9747" max="9747" width="11.85546875" style="9" customWidth="1"/>
    <col min="9748" max="9748" width="15.85546875" style="9" customWidth="1"/>
    <col min="9749" max="9749" width="15.42578125" style="9" customWidth="1"/>
    <col min="9750" max="9750" width="12.42578125" style="9" customWidth="1"/>
    <col min="9751" max="9751" width="11.140625" style="9" customWidth="1"/>
    <col min="9752" max="9752" width="15.42578125" style="9" customWidth="1"/>
    <col min="9753" max="9754" width="0" style="9" hidden="1" customWidth="1"/>
    <col min="9755" max="9755" width="15" style="9" customWidth="1"/>
    <col min="9756" max="9756" width="9.42578125" style="9" customWidth="1"/>
    <col min="9757" max="9757" width="10.5703125" style="9" customWidth="1"/>
    <col min="9758" max="9758" width="9.5703125" style="9" customWidth="1"/>
    <col min="9759" max="9759" width="11.42578125" style="9" customWidth="1"/>
    <col min="9760" max="9760" width="9.140625" style="9"/>
    <col min="9761" max="9761" width="12.5703125" style="9" bestFit="1" customWidth="1"/>
    <col min="9762" max="9762" width="20.140625" style="9" bestFit="1" customWidth="1"/>
    <col min="9763" max="9984" width="9.140625" style="9"/>
    <col min="9985" max="9985" width="5.42578125" style="9" customWidth="1"/>
    <col min="9986" max="9986" width="45.140625" style="9" customWidth="1"/>
    <col min="9987" max="9987" width="15.140625" style="9" customWidth="1"/>
    <col min="9988" max="9988" width="16.42578125" style="9" customWidth="1"/>
    <col min="9989" max="9989" width="17.140625" style="9" customWidth="1"/>
    <col min="9990" max="9992" width="0" style="9" hidden="1" customWidth="1"/>
    <col min="9993" max="9994" width="15.85546875" style="9" customWidth="1"/>
    <col min="9995" max="9995" width="11.140625" style="9" customWidth="1"/>
    <col min="9996" max="9996" width="11.85546875" style="9" customWidth="1"/>
    <col min="9997" max="9997" width="10.42578125" style="9" customWidth="1"/>
    <col min="9998" max="9998" width="16.42578125" style="9" customWidth="1"/>
    <col min="9999" max="9999" width="14.140625" style="9" customWidth="1"/>
    <col min="10000" max="10000" width="15.85546875" style="9" customWidth="1"/>
    <col min="10001" max="10002" width="0" style="9" hidden="1" customWidth="1"/>
    <col min="10003" max="10003" width="11.85546875" style="9" customWidth="1"/>
    <col min="10004" max="10004" width="15.85546875" style="9" customWidth="1"/>
    <col min="10005" max="10005" width="15.42578125" style="9" customWidth="1"/>
    <col min="10006" max="10006" width="12.42578125" style="9" customWidth="1"/>
    <col min="10007" max="10007" width="11.140625" style="9" customWidth="1"/>
    <col min="10008" max="10008" width="15.42578125" style="9" customWidth="1"/>
    <col min="10009" max="10010" width="0" style="9" hidden="1" customWidth="1"/>
    <col min="10011" max="10011" width="15" style="9" customWidth="1"/>
    <col min="10012" max="10012" width="9.42578125" style="9" customWidth="1"/>
    <col min="10013" max="10013" width="10.5703125" style="9" customWidth="1"/>
    <col min="10014" max="10014" width="9.5703125" style="9" customWidth="1"/>
    <col min="10015" max="10015" width="11.42578125" style="9" customWidth="1"/>
    <col min="10016" max="10016" width="9.140625" style="9"/>
    <col min="10017" max="10017" width="12.5703125" style="9" bestFit="1" customWidth="1"/>
    <col min="10018" max="10018" width="20.140625" style="9" bestFit="1" customWidth="1"/>
    <col min="10019" max="10240" width="9.140625" style="9"/>
    <col min="10241" max="10241" width="5.42578125" style="9" customWidth="1"/>
    <col min="10242" max="10242" width="45.140625" style="9" customWidth="1"/>
    <col min="10243" max="10243" width="15.140625" style="9" customWidth="1"/>
    <col min="10244" max="10244" width="16.42578125" style="9" customWidth="1"/>
    <col min="10245" max="10245" width="17.140625" style="9" customWidth="1"/>
    <col min="10246" max="10248" width="0" style="9" hidden="1" customWidth="1"/>
    <col min="10249" max="10250" width="15.85546875" style="9" customWidth="1"/>
    <col min="10251" max="10251" width="11.140625" style="9" customWidth="1"/>
    <col min="10252" max="10252" width="11.85546875" style="9" customWidth="1"/>
    <col min="10253" max="10253" width="10.42578125" style="9" customWidth="1"/>
    <col min="10254" max="10254" width="16.42578125" style="9" customWidth="1"/>
    <col min="10255" max="10255" width="14.140625" style="9" customWidth="1"/>
    <col min="10256" max="10256" width="15.85546875" style="9" customWidth="1"/>
    <col min="10257" max="10258" width="0" style="9" hidden="1" customWidth="1"/>
    <col min="10259" max="10259" width="11.85546875" style="9" customWidth="1"/>
    <col min="10260" max="10260" width="15.85546875" style="9" customWidth="1"/>
    <col min="10261" max="10261" width="15.42578125" style="9" customWidth="1"/>
    <col min="10262" max="10262" width="12.42578125" style="9" customWidth="1"/>
    <col min="10263" max="10263" width="11.140625" style="9" customWidth="1"/>
    <col min="10264" max="10264" width="15.42578125" style="9" customWidth="1"/>
    <col min="10265" max="10266" width="0" style="9" hidden="1" customWidth="1"/>
    <col min="10267" max="10267" width="15" style="9" customWidth="1"/>
    <col min="10268" max="10268" width="9.42578125" style="9" customWidth="1"/>
    <col min="10269" max="10269" width="10.5703125" style="9" customWidth="1"/>
    <col min="10270" max="10270" width="9.5703125" style="9" customWidth="1"/>
    <col min="10271" max="10271" width="11.42578125" style="9" customWidth="1"/>
    <col min="10272" max="10272" width="9.140625" style="9"/>
    <col min="10273" max="10273" width="12.5703125" style="9" bestFit="1" customWidth="1"/>
    <col min="10274" max="10274" width="20.140625" style="9" bestFit="1" customWidth="1"/>
    <col min="10275" max="10496" width="9.140625" style="9"/>
    <col min="10497" max="10497" width="5.42578125" style="9" customWidth="1"/>
    <col min="10498" max="10498" width="45.140625" style="9" customWidth="1"/>
    <col min="10499" max="10499" width="15.140625" style="9" customWidth="1"/>
    <col min="10500" max="10500" width="16.42578125" style="9" customWidth="1"/>
    <col min="10501" max="10501" width="17.140625" style="9" customWidth="1"/>
    <col min="10502" max="10504" width="0" style="9" hidden="1" customWidth="1"/>
    <col min="10505" max="10506" width="15.85546875" style="9" customWidth="1"/>
    <col min="10507" max="10507" width="11.140625" style="9" customWidth="1"/>
    <col min="10508" max="10508" width="11.85546875" style="9" customWidth="1"/>
    <col min="10509" max="10509" width="10.42578125" style="9" customWidth="1"/>
    <col min="10510" max="10510" width="16.42578125" style="9" customWidth="1"/>
    <col min="10511" max="10511" width="14.140625" style="9" customWidth="1"/>
    <col min="10512" max="10512" width="15.85546875" style="9" customWidth="1"/>
    <col min="10513" max="10514" width="0" style="9" hidden="1" customWidth="1"/>
    <col min="10515" max="10515" width="11.85546875" style="9" customWidth="1"/>
    <col min="10516" max="10516" width="15.85546875" style="9" customWidth="1"/>
    <col min="10517" max="10517" width="15.42578125" style="9" customWidth="1"/>
    <col min="10518" max="10518" width="12.42578125" style="9" customWidth="1"/>
    <col min="10519" max="10519" width="11.140625" style="9" customWidth="1"/>
    <col min="10520" max="10520" width="15.42578125" style="9" customWidth="1"/>
    <col min="10521" max="10522" width="0" style="9" hidden="1" customWidth="1"/>
    <col min="10523" max="10523" width="15" style="9" customWidth="1"/>
    <col min="10524" max="10524" width="9.42578125" style="9" customWidth="1"/>
    <col min="10525" max="10525" width="10.5703125" style="9" customWidth="1"/>
    <col min="10526" max="10526" width="9.5703125" style="9" customWidth="1"/>
    <col min="10527" max="10527" width="11.42578125" style="9" customWidth="1"/>
    <col min="10528" max="10528" width="9.140625" style="9"/>
    <col min="10529" max="10529" width="12.5703125" style="9" bestFit="1" customWidth="1"/>
    <col min="10530" max="10530" width="20.140625" style="9" bestFit="1" customWidth="1"/>
    <col min="10531" max="10752" width="9.140625" style="9"/>
    <col min="10753" max="10753" width="5.42578125" style="9" customWidth="1"/>
    <col min="10754" max="10754" width="45.140625" style="9" customWidth="1"/>
    <col min="10755" max="10755" width="15.140625" style="9" customWidth="1"/>
    <col min="10756" max="10756" width="16.42578125" style="9" customWidth="1"/>
    <col min="10757" max="10757" width="17.140625" style="9" customWidth="1"/>
    <col min="10758" max="10760" width="0" style="9" hidden="1" customWidth="1"/>
    <col min="10761" max="10762" width="15.85546875" style="9" customWidth="1"/>
    <col min="10763" max="10763" width="11.140625" style="9" customWidth="1"/>
    <col min="10764" max="10764" width="11.85546875" style="9" customWidth="1"/>
    <col min="10765" max="10765" width="10.42578125" style="9" customWidth="1"/>
    <col min="10766" max="10766" width="16.42578125" style="9" customWidth="1"/>
    <col min="10767" max="10767" width="14.140625" style="9" customWidth="1"/>
    <col min="10768" max="10768" width="15.85546875" style="9" customWidth="1"/>
    <col min="10769" max="10770" width="0" style="9" hidden="1" customWidth="1"/>
    <col min="10771" max="10771" width="11.85546875" style="9" customWidth="1"/>
    <col min="10772" max="10772" width="15.85546875" style="9" customWidth="1"/>
    <col min="10773" max="10773" width="15.42578125" style="9" customWidth="1"/>
    <col min="10774" max="10774" width="12.42578125" style="9" customWidth="1"/>
    <col min="10775" max="10775" width="11.140625" style="9" customWidth="1"/>
    <col min="10776" max="10776" width="15.42578125" style="9" customWidth="1"/>
    <col min="10777" max="10778" width="0" style="9" hidden="1" customWidth="1"/>
    <col min="10779" max="10779" width="15" style="9" customWidth="1"/>
    <col min="10780" max="10780" width="9.42578125" style="9" customWidth="1"/>
    <col min="10781" max="10781" width="10.5703125" style="9" customWidth="1"/>
    <col min="10782" max="10782" width="9.5703125" style="9" customWidth="1"/>
    <col min="10783" max="10783" width="11.42578125" style="9" customWidth="1"/>
    <col min="10784" max="10784" width="9.140625" style="9"/>
    <col min="10785" max="10785" width="12.5703125" style="9" bestFit="1" customWidth="1"/>
    <col min="10786" max="10786" width="20.140625" style="9" bestFit="1" customWidth="1"/>
    <col min="10787" max="11008" width="9.140625" style="9"/>
    <col min="11009" max="11009" width="5.42578125" style="9" customWidth="1"/>
    <col min="11010" max="11010" width="45.140625" style="9" customWidth="1"/>
    <col min="11011" max="11011" width="15.140625" style="9" customWidth="1"/>
    <col min="11012" max="11012" width="16.42578125" style="9" customWidth="1"/>
    <col min="11013" max="11013" width="17.140625" style="9" customWidth="1"/>
    <col min="11014" max="11016" width="0" style="9" hidden="1" customWidth="1"/>
    <col min="11017" max="11018" width="15.85546875" style="9" customWidth="1"/>
    <col min="11019" max="11019" width="11.140625" style="9" customWidth="1"/>
    <col min="11020" max="11020" width="11.85546875" style="9" customWidth="1"/>
    <col min="11021" max="11021" width="10.42578125" style="9" customWidth="1"/>
    <col min="11022" max="11022" width="16.42578125" style="9" customWidth="1"/>
    <col min="11023" max="11023" width="14.140625" style="9" customWidth="1"/>
    <col min="11024" max="11024" width="15.85546875" style="9" customWidth="1"/>
    <col min="11025" max="11026" width="0" style="9" hidden="1" customWidth="1"/>
    <col min="11027" max="11027" width="11.85546875" style="9" customWidth="1"/>
    <col min="11028" max="11028" width="15.85546875" style="9" customWidth="1"/>
    <col min="11029" max="11029" width="15.42578125" style="9" customWidth="1"/>
    <col min="11030" max="11030" width="12.42578125" style="9" customWidth="1"/>
    <col min="11031" max="11031" width="11.140625" style="9" customWidth="1"/>
    <col min="11032" max="11032" width="15.42578125" style="9" customWidth="1"/>
    <col min="11033" max="11034" width="0" style="9" hidden="1" customWidth="1"/>
    <col min="11035" max="11035" width="15" style="9" customWidth="1"/>
    <col min="11036" max="11036" width="9.42578125" style="9" customWidth="1"/>
    <col min="11037" max="11037" width="10.5703125" style="9" customWidth="1"/>
    <col min="11038" max="11038" width="9.5703125" style="9" customWidth="1"/>
    <col min="11039" max="11039" width="11.42578125" style="9" customWidth="1"/>
    <col min="11040" max="11040" width="9.140625" style="9"/>
    <col min="11041" max="11041" width="12.5703125" style="9" bestFit="1" customWidth="1"/>
    <col min="11042" max="11042" width="20.140625" style="9" bestFit="1" customWidth="1"/>
    <col min="11043" max="11264" width="9.140625" style="9"/>
    <col min="11265" max="11265" width="5.42578125" style="9" customWidth="1"/>
    <col min="11266" max="11266" width="45.140625" style="9" customWidth="1"/>
    <col min="11267" max="11267" width="15.140625" style="9" customWidth="1"/>
    <col min="11268" max="11268" width="16.42578125" style="9" customWidth="1"/>
    <col min="11269" max="11269" width="17.140625" style="9" customWidth="1"/>
    <col min="11270" max="11272" width="0" style="9" hidden="1" customWidth="1"/>
    <col min="11273" max="11274" width="15.85546875" style="9" customWidth="1"/>
    <col min="11275" max="11275" width="11.140625" style="9" customWidth="1"/>
    <col min="11276" max="11276" width="11.85546875" style="9" customWidth="1"/>
    <col min="11277" max="11277" width="10.42578125" style="9" customWidth="1"/>
    <col min="11278" max="11278" width="16.42578125" style="9" customWidth="1"/>
    <col min="11279" max="11279" width="14.140625" style="9" customWidth="1"/>
    <col min="11280" max="11280" width="15.85546875" style="9" customWidth="1"/>
    <col min="11281" max="11282" width="0" style="9" hidden="1" customWidth="1"/>
    <col min="11283" max="11283" width="11.85546875" style="9" customWidth="1"/>
    <col min="11284" max="11284" width="15.85546875" style="9" customWidth="1"/>
    <col min="11285" max="11285" width="15.42578125" style="9" customWidth="1"/>
    <col min="11286" max="11286" width="12.42578125" style="9" customWidth="1"/>
    <col min="11287" max="11287" width="11.140625" style="9" customWidth="1"/>
    <col min="11288" max="11288" width="15.42578125" style="9" customWidth="1"/>
    <col min="11289" max="11290" width="0" style="9" hidden="1" customWidth="1"/>
    <col min="11291" max="11291" width="15" style="9" customWidth="1"/>
    <col min="11292" max="11292" width="9.42578125" style="9" customWidth="1"/>
    <col min="11293" max="11293" width="10.5703125" style="9" customWidth="1"/>
    <col min="11294" max="11294" width="9.5703125" style="9" customWidth="1"/>
    <col min="11295" max="11295" width="11.42578125" style="9" customWidth="1"/>
    <col min="11296" max="11296" width="9.140625" style="9"/>
    <col min="11297" max="11297" width="12.5703125" style="9" bestFit="1" customWidth="1"/>
    <col min="11298" max="11298" width="20.140625" style="9" bestFit="1" customWidth="1"/>
    <col min="11299" max="11520" width="9.140625" style="9"/>
    <col min="11521" max="11521" width="5.42578125" style="9" customWidth="1"/>
    <col min="11522" max="11522" width="45.140625" style="9" customWidth="1"/>
    <col min="11523" max="11523" width="15.140625" style="9" customWidth="1"/>
    <col min="11524" max="11524" width="16.42578125" style="9" customWidth="1"/>
    <col min="11525" max="11525" width="17.140625" style="9" customWidth="1"/>
    <col min="11526" max="11528" width="0" style="9" hidden="1" customWidth="1"/>
    <col min="11529" max="11530" width="15.85546875" style="9" customWidth="1"/>
    <col min="11531" max="11531" width="11.140625" style="9" customWidth="1"/>
    <col min="11532" max="11532" width="11.85546875" style="9" customWidth="1"/>
    <col min="11533" max="11533" width="10.42578125" style="9" customWidth="1"/>
    <col min="11534" max="11534" width="16.42578125" style="9" customWidth="1"/>
    <col min="11535" max="11535" width="14.140625" style="9" customWidth="1"/>
    <col min="11536" max="11536" width="15.85546875" style="9" customWidth="1"/>
    <col min="11537" max="11538" width="0" style="9" hidden="1" customWidth="1"/>
    <col min="11539" max="11539" width="11.85546875" style="9" customWidth="1"/>
    <col min="11540" max="11540" width="15.85546875" style="9" customWidth="1"/>
    <col min="11541" max="11541" width="15.42578125" style="9" customWidth="1"/>
    <col min="11542" max="11542" width="12.42578125" style="9" customWidth="1"/>
    <col min="11543" max="11543" width="11.140625" style="9" customWidth="1"/>
    <col min="11544" max="11544" width="15.42578125" style="9" customWidth="1"/>
    <col min="11545" max="11546" width="0" style="9" hidden="1" customWidth="1"/>
    <col min="11547" max="11547" width="15" style="9" customWidth="1"/>
    <col min="11548" max="11548" width="9.42578125" style="9" customWidth="1"/>
    <col min="11549" max="11549" width="10.5703125" style="9" customWidth="1"/>
    <col min="11550" max="11550" width="9.5703125" style="9" customWidth="1"/>
    <col min="11551" max="11551" width="11.42578125" style="9" customWidth="1"/>
    <col min="11552" max="11552" width="9.140625" style="9"/>
    <col min="11553" max="11553" width="12.5703125" style="9" bestFit="1" customWidth="1"/>
    <col min="11554" max="11554" width="20.140625" style="9" bestFit="1" customWidth="1"/>
    <col min="11555" max="11776" width="9.140625" style="9"/>
    <col min="11777" max="11777" width="5.42578125" style="9" customWidth="1"/>
    <col min="11778" max="11778" width="45.140625" style="9" customWidth="1"/>
    <col min="11779" max="11779" width="15.140625" style="9" customWidth="1"/>
    <col min="11780" max="11780" width="16.42578125" style="9" customWidth="1"/>
    <col min="11781" max="11781" width="17.140625" style="9" customWidth="1"/>
    <col min="11782" max="11784" width="0" style="9" hidden="1" customWidth="1"/>
    <col min="11785" max="11786" width="15.85546875" style="9" customWidth="1"/>
    <col min="11787" max="11787" width="11.140625" style="9" customWidth="1"/>
    <col min="11788" max="11788" width="11.85546875" style="9" customWidth="1"/>
    <col min="11789" max="11789" width="10.42578125" style="9" customWidth="1"/>
    <col min="11790" max="11790" width="16.42578125" style="9" customWidth="1"/>
    <col min="11791" max="11791" width="14.140625" style="9" customWidth="1"/>
    <col min="11792" max="11792" width="15.85546875" style="9" customWidth="1"/>
    <col min="11793" max="11794" width="0" style="9" hidden="1" customWidth="1"/>
    <col min="11795" max="11795" width="11.85546875" style="9" customWidth="1"/>
    <col min="11796" max="11796" width="15.85546875" style="9" customWidth="1"/>
    <col min="11797" max="11797" width="15.42578125" style="9" customWidth="1"/>
    <col min="11798" max="11798" width="12.42578125" style="9" customWidth="1"/>
    <col min="11799" max="11799" width="11.140625" style="9" customWidth="1"/>
    <col min="11800" max="11800" width="15.42578125" style="9" customWidth="1"/>
    <col min="11801" max="11802" width="0" style="9" hidden="1" customWidth="1"/>
    <col min="11803" max="11803" width="15" style="9" customWidth="1"/>
    <col min="11804" max="11804" width="9.42578125" style="9" customWidth="1"/>
    <col min="11805" max="11805" width="10.5703125" style="9" customWidth="1"/>
    <col min="11806" max="11806" width="9.5703125" style="9" customWidth="1"/>
    <col min="11807" max="11807" width="11.42578125" style="9" customWidth="1"/>
    <col min="11808" max="11808" width="9.140625" style="9"/>
    <col min="11809" max="11809" width="12.5703125" style="9" bestFit="1" customWidth="1"/>
    <col min="11810" max="11810" width="20.140625" style="9" bestFit="1" customWidth="1"/>
    <col min="11811" max="12032" width="9.140625" style="9"/>
    <col min="12033" max="12033" width="5.42578125" style="9" customWidth="1"/>
    <col min="12034" max="12034" width="45.140625" style="9" customWidth="1"/>
    <col min="12035" max="12035" width="15.140625" style="9" customWidth="1"/>
    <col min="12036" max="12036" width="16.42578125" style="9" customWidth="1"/>
    <col min="12037" max="12037" width="17.140625" style="9" customWidth="1"/>
    <col min="12038" max="12040" width="0" style="9" hidden="1" customWidth="1"/>
    <col min="12041" max="12042" width="15.85546875" style="9" customWidth="1"/>
    <col min="12043" max="12043" width="11.140625" style="9" customWidth="1"/>
    <col min="12044" max="12044" width="11.85546875" style="9" customWidth="1"/>
    <col min="12045" max="12045" width="10.42578125" style="9" customWidth="1"/>
    <col min="12046" max="12046" width="16.42578125" style="9" customWidth="1"/>
    <col min="12047" max="12047" width="14.140625" style="9" customWidth="1"/>
    <col min="12048" max="12048" width="15.85546875" style="9" customWidth="1"/>
    <col min="12049" max="12050" width="0" style="9" hidden="1" customWidth="1"/>
    <col min="12051" max="12051" width="11.85546875" style="9" customWidth="1"/>
    <col min="12052" max="12052" width="15.85546875" style="9" customWidth="1"/>
    <col min="12053" max="12053" width="15.42578125" style="9" customWidth="1"/>
    <col min="12054" max="12054" width="12.42578125" style="9" customWidth="1"/>
    <col min="12055" max="12055" width="11.140625" style="9" customWidth="1"/>
    <col min="12056" max="12056" width="15.42578125" style="9" customWidth="1"/>
    <col min="12057" max="12058" width="0" style="9" hidden="1" customWidth="1"/>
    <col min="12059" max="12059" width="15" style="9" customWidth="1"/>
    <col min="12060" max="12060" width="9.42578125" style="9" customWidth="1"/>
    <col min="12061" max="12061" width="10.5703125" style="9" customWidth="1"/>
    <col min="12062" max="12062" width="9.5703125" style="9" customWidth="1"/>
    <col min="12063" max="12063" width="11.42578125" style="9" customWidth="1"/>
    <col min="12064" max="12064" width="9.140625" style="9"/>
    <col min="12065" max="12065" width="12.5703125" style="9" bestFit="1" customWidth="1"/>
    <col min="12066" max="12066" width="20.140625" style="9" bestFit="1" customWidth="1"/>
    <col min="12067" max="12288" width="9.140625" style="9"/>
    <col min="12289" max="12289" width="5.42578125" style="9" customWidth="1"/>
    <col min="12290" max="12290" width="45.140625" style="9" customWidth="1"/>
    <col min="12291" max="12291" width="15.140625" style="9" customWidth="1"/>
    <col min="12292" max="12292" width="16.42578125" style="9" customWidth="1"/>
    <col min="12293" max="12293" width="17.140625" style="9" customWidth="1"/>
    <col min="12294" max="12296" width="0" style="9" hidden="1" customWidth="1"/>
    <col min="12297" max="12298" width="15.85546875" style="9" customWidth="1"/>
    <col min="12299" max="12299" width="11.140625" style="9" customWidth="1"/>
    <col min="12300" max="12300" width="11.85546875" style="9" customWidth="1"/>
    <col min="12301" max="12301" width="10.42578125" style="9" customWidth="1"/>
    <col min="12302" max="12302" width="16.42578125" style="9" customWidth="1"/>
    <col min="12303" max="12303" width="14.140625" style="9" customWidth="1"/>
    <col min="12304" max="12304" width="15.85546875" style="9" customWidth="1"/>
    <col min="12305" max="12306" width="0" style="9" hidden="1" customWidth="1"/>
    <col min="12307" max="12307" width="11.85546875" style="9" customWidth="1"/>
    <col min="12308" max="12308" width="15.85546875" style="9" customWidth="1"/>
    <col min="12309" max="12309" width="15.42578125" style="9" customWidth="1"/>
    <col min="12310" max="12310" width="12.42578125" style="9" customWidth="1"/>
    <col min="12311" max="12311" width="11.140625" style="9" customWidth="1"/>
    <col min="12312" max="12312" width="15.42578125" style="9" customWidth="1"/>
    <col min="12313" max="12314" width="0" style="9" hidden="1" customWidth="1"/>
    <col min="12315" max="12315" width="15" style="9" customWidth="1"/>
    <col min="12316" max="12316" width="9.42578125" style="9" customWidth="1"/>
    <col min="12317" max="12317" width="10.5703125" style="9" customWidth="1"/>
    <col min="12318" max="12318" width="9.5703125" style="9" customWidth="1"/>
    <col min="12319" max="12319" width="11.42578125" style="9" customWidth="1"/>
    <col min="12320" max="12320" width="9.140625" style="9"/>
    <col min="12321" max="12321" width="12.5703125" style="9" bestFit="1" customWidth="1"/>
    <col min="12322" max="12322" width="20.140625" style="9" bestFit="1" customWidth="1"/>
    <col min="12323" max="12544" width="9.140625" style="9"/>
    <col min="12545" max="12545" width="5.42578125" style="9" customWidth="1"/>
    <col min="12546" max="12546" width="45.140625" style="9" customWidth="1"/>
    <col min="12547" max="12547" width="15.140625" style="9" customWidth="1"/>
    <col min="12548" max="12548" width="16.42578125" style="9" customWidth="1"/>
    <col min="12549" max="12549" width="17.140625" style="9" customWidth="1"/>
    <col min="12550" max="12552" width="0" style="9" hidden="1" customWidth="1"/>
    <col min="12553" max="12554" width="15.85546875" style="9" customWidth="1"/>
    <col min="12555" max="12555" width="11.140625" style="9" customWidth="1"/>
    <col min="12556" max="12556" width="11.85546875" style="9" customWidth="1"/>
    <col min="12557" max="12557" width="10.42578125" style="9" customWidth="1"/>
    <col min="12558" max="12558" width="16.42578125" style="9" customWidth="1"/>
    <col min="12559" max="12559" width="14.140625" style="9" customWidth="1"/>
    <col min="12560" max="12560" width="15.85546875" style="9" customWidth="1"/>
    <col min="12561" max="12562" width="0" style="9" hidden="1" customWidth="1"/>
    <col min="12563" max="12563" width="11.85546875" style="9" customWidth="1"/>
    <col min="12564" max="12564" width="15.85546875" style="9" customWidth="1"/>
    <col min="12565" max="12565" width="15.42578125" style="9" customWidth="1"/>
    <col min="12566" max="12566" width="12.42578125" style="9" customWidth="1"/>
    <col min="12567" max="12567" width="11.140625" style="9" customWidth="1"/>
    <col min="12568" max="12568" width="15.42578125" style="9" customWidth="1"/>
    <col min="12569" max="12570" width="0" style="9" hidden="1" customWidth="1"/>
    <col min="12571" max="12571" width="15" style="9" customWidth="1"/>
    <col min="12572" max="12572" width="9.42578125" style="9" customWidth="1"/>
    <col min="12573" max="12573" width="10.5703125" style="9" customWidth="1"/>
    <col min="12574" max="12574" width="9.5703125" style="9" customWidth="1"/>
    <col min="12575" max="12575" width="11.42578125" style="9" customWidth="1"/>
    <col min="12576" max="12576" width="9.140625" style="9"/>
    <col min="12577" max="12577" width="12.5703125" style="9" bestFit="1" customWidth="1"/>
    <col min="12578" max="12578" width="20.140625" style="9" bestFit="1" customWidth="1"/>
    <col min="12579" max="12800" width="9.140625" style="9"/>
    <col min="12801" max="12801" width="5.42578125" style="9" customWidth="1"/>
    <col min="12802" max="12802" width="45.140625" style="9" customWidth="1"/>
    <col min="12803" max="12803" width="15.140625" style="9" customWidth="1"/>
    <col min="12804" max="12804" width="16.42578125" style="9" customWidth="1"/>
    <col min="12805" max="12805" width="17.140625" style="9" customWidth="1"/>
    <col min="12806" max="12808" width="0" style="9" hidden="1" customWidth="1"/>
    <col min="12809" max="12810" width="15.85546875" style="9" customWidth="1"/>
    <col min="12811" max="12811" width="11.140625" style="9" customWidth="1"/>
    <col min="12812" max="12812" width="11.85546875" style="9" customWidth="1"/>
    <col min="12813" max="12813" width="10.42578125" style="9" customWidth="1"/>
    <col min="12814" max="12814" width="16.42578125" style="9" customWidth="1"/>
    <col min="12815" max="12815" width="14.140625" style="9" customWidth="1"/>
    <col min="12816" max="12816" width="15.85546875" style="9" customWidth="1"/>
    <col min="12817" max="12818" width="0" style="9" hidden="1" customWidth="1"/>
    <col min="12819" max="12819" width="11.85546875" style="9" customWidth="1"/>
    <col min="12820" max="12820" width="15.85546875" style="9" customWidth="1"/>
    <col min="12821" max="12821" width="15.42578125" style="9" customWidth="1"/>
    <col min="12822" max="12822" width="12.42578125" style="9" customWidth="1"/>
    <col min="12823" max="12823" width="11.140625" style="9" customWidth="1"/>
    <col min="12824" max="12824" width="15.42578125" style="9" customWidth="1"/>
    <col min="12825" max="12826" width="0" style="9" hidden="1" customWidth="1"/>
    <col min="12827" max="12827" width="15" style="9" customWidth="1"/>
    <col min="12828" max="12828" width="9.42578125" style="9" customWidth="1"/>
    <col min="12829" max="12829" width="10.5703125" style="9" customWidth="1"/>
    <col min="12830" max="12830" width="9.5703125" style="9" customWidth="1"/>
    <col min="12831" max="12831" width="11.42578125" style="9" customWidth="1"/>
    <col min="12832" max="12832" width="9.140625" style="9"/>
    <col min="12833" max="12833" width="12.5703125" style="9" bestFit="1" customWidth="1"/>
    <col min="12834" max="12834" width="20.140625" style="9" bestFit="1" customWidth="1"/>
    <col min="12835" max="13056" width="9.140625" style="9"/>
    <col min="13057" max="13057" width="5.42578125" style="9" customWidth="1"/>
    <col min="13058" max="13058" width="45.140625" style="9" customWidth="1"/>
    <col min="13059" max="13059" width="15.140625" style="9" customWidth="1"/>
    <col min="13060" max="13060" width="16.42578125" style="9" customWidth="1"/>
    <col min="13061" max="13061" width="17.140625" style="9" customWidth="1"/>
    <col min="13062" max="13064" width="0" style="9" hidden="1" customWidth="1"/>
    <col min="13065" max="13066" width="15.85546875" style="9" customWidth="1"/>
    <col min="13067" max="13067" width="11.140625" style="9" customWidth="1"/>
    <col min="13068" max="13068" width="11.85546875" style="9" customWidth="1"/>
    <col min="13069" max="13069" width="10.42578125" style="9" customWidth="1"/>
    <col min="13070" max="13070" width="16.42578125" style="9" customWidth="1"/>
    <col min="13071" max="13071" width="14.140625" style="9" customWidth="1"/>
    <col min="13072" max="13072" width="15.85546875" style="9" customWidth="1"/>
    <col min="13073" max="13074" width="0" style="9" hidden="1" customWidth="1"/>
    <col min="13075" max="13075" width="11.85546875" style="9" customWidth="1"/>
    <col min="13076" max="13076" width="15.85546875" style="9" customWidth="1"/>
    <col min="13077" max="13077" width="15.42578125" style="9" customWidth="1"/>
    <col min="13078" max="13078" width="12.42578125" style="9" customWidth="1"/>
    <col min="13079" max="13079" width="11.140625" style="9" customWidth="1"/>
    <col min="13080" max="13080" width="15.42578125" style="9" customWidth="1"/>
    <col min="13081" max="13082" width="0" style="9" hidden="1" customWidth="1"/>
    <col min="13083" max="13083" width="15" style="9" customWidth="1"/>
    <col min="13084" max="13084" width="9.42578125" style="9" customWidth="1"/>
    <col min="13085" max="13085" width="10.5703125" style="9" customWidth="1"/>
    <col min="13086" max="13086" width="9.5703125" style="9" customWidth="1"/>
    <col min="13087" max="13087" width="11.42578125" style="9" customWidth="1"/>
    <col min="13088" max="13088" width="9.140625" style="9"/>
    <col min="13089" max="13089" width="12.5703125" style="9" bestFit="1" customWidth="1"/>
    <col min="13090" max="13090" width="20.140625" style="9" bestFit="1" customWidth="1"/>
    <col min="13091" max="13312" width="9.140625" style="9"/>
    <col min="13313" max="13313" width="5.42578125" style="9" customWidth="1"/>
    <col min="13314" max="13314" width="45.140625" style="9" customWidth="1"/>
    <col min="13315" max="13315" width="15.140625" style="9" customWidth="1"/>
    <col min="13316" max="13316" width="16.42578125" style="9" customWidth="1"/>
    <col min="13317" max="13317" width="17.140625" style="9" customWidth="1"/>
    <col min="13318" max="13320" width="0" style="9" hidden="1" customWidth="1"/>
    <col min="13321" max="13322" width="15.85546875" style="9" customWidth="1"/>
    <col min="13323" max="13323" width="11.140625" style="9" customWidth="1"/>
    <col min="13324" max="13324" width="11.85546875" style="9" customWidth="1"/>
    <col min="13325" max="13325" width="10.42578125" style="9" customWidth="1"/>
    <col min="13326" max="13326" width="16.42578125" style="9" customWidth="1"/>
    <col min="13327" max="13327" width="14.140625" style="9" customWidth="1"/>
    <col min="13328" max="13328" width="15.85546875" style="9" customWidth="1"/>
    <col min="13329" max="13330" width="0" style="9" hidden="1" customWidth="1"/>
    <col min="13331" max="13331" width="11.85546875" style="9" customWidth="1"/>
    <col min="13332" max="13332" width="15.85546875" style="9" customWidth="1"/>
    <col min="13333" max="13333" width="15.42578125" style="9" customWidth="1"/>
    <col min="13334" max="13334" width="12.42578125" style="9" customWidth="1"/>
    <col min="13335" max="13335" width="11.140625" style="9" customWidth="1"/>
    <col min="13336" max="13336" width="15.42578125" style="9" customWidth="1"/>
    <col min="13337" max="13338" width="0" style="9" hidden="1" customWidth="1"/>
    <col min="13339" max="13339" width="15" style="9" customWidth="1"/>
    <col min="13340" max="13340" width="9.42578125" style="9" customWidth="1"/>
    <col min="13341" max="13341" width="10.5703125" style="9" customWidth="1"/>
    <col min="13342" max="13342" width="9.5703125" style="9" customWidth="1"/>
    <col min="13343" max="13343" width="11.42578125" style="9" customWidth="1"/>
    <col min="13344" max="13344" width="9.140625" style="9"/>
    <col min="13345" max="13345" width="12.5703125" style="9" bestFit="1" customWidth="1"/>
    <col min="13346" max="13346" width="20.140625" style="9" bestFit="1" customWidth="1"/>
    <col min="13347" max="13568" width="9.140625" style="9"/>
    <col min="13569" max="13569" width="5.42578125" style="9" customWidth="1"/>
    <col min="13570" max="13570" width="45.140625" style="9" customWidth="1"/>
    <col min="13571" max="13571" width="15.140625" style="9" customWidth="1"/>
    <col min="13572" max="13572" width="16.42578125" style="9" customWidth="1"/>
    <col min="13573" max="13573" width="17.140625" style="9" customWidth="1"/>
    <col min="13574" max="13576" width="0" style="9" hidden="1" customWidth="1"/>
    <col min="13577" max="13578" width="15.85546875" style="9" customWidth="1"/>
    <col min="13579" max="13579" width="11.140625" style="9" customWidth="1"/>
    <col min="13580" max="13580" width="11.85546875" style="9" customWidth="1"/>
    <col min="13581" max="13581" width="10.42578125" style="9" customWidth="1"/>
    <col min="13582" max="13582" width="16.42578125" style="9" customWidth="1"/>
    <col min="13583" max="13583" width="14.140625" style="9" customWidth="1"/>
    <col min="13584" max="13584" width="15.85546875" style="9" customWidth="1"/>
    <col min="13585" max="13586" width="0" style="9" hidden="1" customWidth="1"/>
    <col min="13587" max="13587" width="11.85546875" style="9" customWidth="1"/>
    <col min="13588" max="13588" width="15.85546875" style="9" customWidth="1"/>
    <col min="13589" max="13589" width="15.42578125" style="9" customWidth="1"/>
    <col min="13590" max="13590" width="12.42578125" style="9" customWidth="1"/>
    <col min="13591" max="13591" width="11.140625" style="9" customWidth="1"/>
    <col min="13592" max="13592" width="15.42578125" style="9" customWidth="1"/>
    <col min="13593" max="13594" width="0" style="9" hidden="1" customWidth="1"/>
    <col min="13595" max="13595" width="15" style="9" customWidth="1"/>
    <col min="13596" max="13596" width="9.42578125" style="9" customWidth="1"/>
    <col min="13597" max="13597" width="10.5703125" style="9" customWidth="1"/>
    <col min="13598" max="13598" width="9.5703125" style="9" customWidth="1"/>
    <col min="13599" max="13599" width="11.42578125" style="9" customWidth="1"/>
    <col min="13600" max="13600" width="9.140625" style="9"/>
    <col min="13601" max="13601" width="12.5703125" style="9" bestFit="1" customWidth="1"/>
    <col min="13602" max="13602" width="20.140625" style="9" bestFit="1" customWidth="1"/>
    <col min="13603" max="13824" width="9.140625" style="9"/>
    <col min="13825" max="13825" width="5.42578125" style="9" customWidth="1"/>
    <col min="13826" max="13826" width="45.140625" style="9" customWidth="1"/>
    <col min="13827" max="13827" width="15.140625" style="9" customWidth="1"/>
    <col min="13828" max="13828" width="16.42578125" style="9" customWidth="1"/>
    <col min="13829" max="13829" width="17.140625" style="9" customWidth="1"/>
    <col min="13830" max="13832" width="0" style="9" hidden="1" customWidth="1"/>
    <col min="13833" max="13834" width="15.85546875" style="9" customWidth="1"/>
    <col min="13835" max="13835" width="11.140625" style="9" customWidth="1"/>
    <col min="13836" max="13836" width="11.85546875" style="9" customWidth="1"/>
    <col min="13837" max="13837" width="10.42578125" style="9" customWidth="1"/>
    <col min="13838" max="13838" width="16.42578125" style="9" customWidth="1"/>
    <col min="13839" max="13839" width="14.140625" style="9" customWidth="1"/>
    <col min="13840" max="13840" width="15.85546875" style="9" customWidth="1"/>
    <col min="13841" max="13842" width="0" style="9" hidden="1" customWidth="1"/>
    <col min="13843" max="13843" width="11.85546875" style="9" customWidth="1"/>
    <col min="13844" max="13844" width="15.85546875" style="9" customWidth="1"/>
    <col min="13845" max="13845" width="15.42578125" style="9" customWidth="1"/>
    <col min="13846" max="13846" width="12.42578125" style="9" customWidth="1"/>
    <col min="13847" max="13847" width="11.140625" style="9" customWidth="1"/>
    <col min="13848" max="13848" width="15.42578125" style="9" customWidth="1"/>
    <col min="13849" max="13850" width="0" style="9" hidden="1" customWidth="1"/>
    <col min="13851" max="13851" width="15" style="9" customWidth="1"/>
    <col min="13852" max="13852" width="9.42578125" style="9" customWidth="1"/>
    <col min="13853" max="13853" width="10.5703125" style="9" customWidth="1"/>
    <col min="13854" max="13854" width="9.5703125" style="9" customWidth="1"/>
    <col min="13855" max="13855" width="11.42578125" style="9" customWidth="1"/>
    <col min="13856" max="13856" width="9.140625" style="9"/>
    <col min="13857" max="13857" width="12.5703125" style="9" bestFit="1" customWidth="1"/>
    <col min="13858" max="13858" width="20.140625" style="9" bestFit="1" customWidth="1"/>
    <col min="13859" max="14080" width="9.140625" style="9"/>
    <col min="14081" max="14081" width="5.42578125" style="9" customWidth="1"/>
    <col min="14082" max="14082" width="45.140625" style="9" customWidth="1"/>
    <col min="14083" max="14083" width="15.140625" style="9" customWidth="1"/>
    <col min="14084" max="14084" width="16.42578125" style="9" customWidth="1"/>
    <col min="14085" max="14085" width="17.140625" style="9" customWidth="1"/>
    <col min="14086" max="14088" width="0" style="9" hidden="1" customWidth="1"/>
    <col min="14089" max="14090" width="15.85546875" style="9" customWidth="1"/>
    <col min="14091" max="14091" width="11.140625" style="9" customWidth="1"/>
    <col min="14092" max="14092" width="11.85546875" style="9" customWidth="1"/>
    <col min="14093" max="14093" width="10.42578125" style="9" customWidth="1"/>
    <col min="14094" max="14094" width="16.42578125" style="9" customWidth="1"/>
    <col min="14095" max="14095" width="14.140625" style="9" customWidth="1"/>
    <col min="14096" max="14096" width="15.85546875" style="9" customWidth="1"/>
    <col min="14097" max="14098" width="0" style="9" hidden="1" customWidth="1"/>
    <col min="14099" max="14099" width="11.85546875" style="9" customWidth="1"/>
    <col min="14100" max="14100" width="15.85546875" style="9" customWidth="1"/>
    <col min="14101" max="14101" width="15.42578125" style="9" customWidth="1"/>
    <col min="14102" max="14102" width="12.42578125" style="9" customWidth="1"/>
    <col min="14103" max="14103" width="11.140625" style="9" customWidth="1"/>
    <col min="14104" max="14104" width="15.42578125" style="9" customWidth="1"/>
    <col min="14105" max="14106" width="0" style="9" hidden="1" customWidth="1"/>
    <col min="14107" max="14107" width="15" style="9" customWidth="1"/>
    <col min="14108" max="14108" width="9.42578125" style="9" customWidth="1"/>
    <col min="14109" max="14109" width="10.5703125" style="9" customWidth="1"/>
    <col min="14110" max="14110" width="9.5703125" style="9" customWidth="1"/>
    <col min="14111" max="14111" width="11.42578125" style="9" customWidth="1"/>
    <col min="14112" max="14112" width="9.140625" style="9"/>
    <col min="14113" max="14113" width="12.5703125" style="9" bestFit="1" customWidth="1"/>
    <col min="14114" max="14114" width="20.140625" style="9" bestFit="1" customWidth="1"/>
    <col min="14115" max="14336" width="9.140625" style="9"/>
    <col min="14337" max="14337" width="5.42578125" style="9" customWidth="1"/>
    <col min="14338" max="14338" width="45.140625" style="9" customWidth="1"/>
    <col min="14339" max="14339" width="15.140625" style="9" customWidth="1"/>
    <col min="14340" max="14340" width="16.42578125" style="9" customWidth="1"/>
    <col min="14341" max="14341" width="17.140625" style="9" customWidth="1"/>
    <col min="14342" max="14344" width="0" style="9" hidden="1" customWidth="1"/>
    <col min="14345" max="14346" width="15.85546875" style="9" customWidth="1"/>
    <col min="14347" max="14347" width="11.140625" style="9" customWidth="1"/>
    <col min="14348" max="14348" width="11.85546875" style="9" customWidth="1"/>
    <col min="14349" max="14349" width="10.42578125" style="9" customWidth="1"/>
    <col min="14350" max="14350" width="16.42578125" style="9" customWidth="1"/>
    <col min="14351" max="14351" width="14.140625" style="9" customWidth="1"/>
    <col min="14352" max="14352" width="15.85546875" style="9" customWidth="1"/>
    <col min="14353" max="14354" width="0" style="9" hidden="1" customWidth="1"/>
    <col min="14355" max="14355" width="11.85546875" style="9" customWidth="1"/>
    <col min="14356" max="14356" width="15.85546875" style="9" customWidth="1"/>
    <col min="14357" max="14357" width="15.42578125" style="9" customWidth="1"/>
    <col min="14358" max="14358" width="12.42578125" style="9" customWidth="1"/>
    <col min="14359" max="14359" width="11.140625" style="9" customWidth="1"/>
    <col min="14360" max="14360" width="15.42578125" style="9" customWidth="1"/>
    <col min="14361" max="14362" width="0" style="9" hidden="1" customWidth="1"/>
    <col min="14363" max="14363" width="15" style="9" customWidth="1"/>
    <col min="14364" max="14364" width="9.42578125" style="9" customWidth="1"/>
    <col min="14365" max="14365" width="10.5703125" style="9" customWidth="1"/>
    <col min="14366" max="14366" width="9.5703125" style="9" customWidth="1"/>
    <col min="14367" max="14367" width="11.42578125" style="9" customWidth="1"/>
    <col min="14368" max="14368" width="9.140625" style="9"/>
    <col min="14369" max="14369" width="12.5703125" style="9" bestFit="1" customWidth="1"/>
    <col min="14370" max="14370" width="20.140625" style="9" bestFit="1" customWidth="1"/>
    <col min="14371" max="14592" width="9.140625" style="9"/>
    <col min="14593" max="14593" width="5.42578125" style="9" customWidth="1"/>
    <col min="14594" max="14594" width="45.140625" style="9" customWidth="1"/>
    <col min="14595" max="14595" width="15.140625" style="9" customWidth="1"/>
    <col min="14596" max="14596" width="16.42578125" style="9" customWidth="1"/>
    <col min="14597" max="14597" width="17.140625" style="9" customWidth="1"/>
    <col min="14598" max="14600" width="0" style="9" hidden="1" customWidth="1"/>
    <col min="14601" max="14602" width="15.85546875" style="9" customWidth="1"/>
    <col min="14603" max="14603" width="11.140625" style="9" customWidth="1"/>
    <col min="14604" max="14604" width="11.85546875" style="9" customWidth="1"/>
    <col min="14605" max="14605" width="10.42578125" style="9" customWidth="1"/>
    <col min="14606" max="14606" width="16.42578125" style="9" customWidth="1"/>
    <col min="14607" max="14607" width="14.140625" style="9" customWidth="1"/>
    <col min="14608" max="14608" width="15.85546875" style="9" customWidth="1"/>
    <col min="14609" max="14610" width="0" style="9" hidden="1" customWidth="1"/>
    <col min="14611" max="14611" width="11.85546875" style="9" customWidth="1"/>
    <col min="14612" max="14612" width="15.85546875" style="9" customWidth="1"/>
    <col min="14613" max="14613" width="15.42578125" style="9" customWidth="1"/>
    <col min="14614" max="14614" width="12.42578125" style="9" customWidth="1"/>
    <col min="14615" max="14615" width="11.140625" style="9" customWidth="1"/>
    <col min="14616" max="14616" width="15.42578125" style="9" customWidth="1"/>
    <col min="14617" max="14618" width="0" style="9" hidden="1" customWidth="1"/>
    <col min="14619" max="14619" width="15" style="9" customWidth="1"/>
    <col min="14620" max="14620" width="9.42578125" style="9" customWidth="1"/>
    <col min="14621" max="14621" width="10.5703125" style="9" customWidth="1"/>
    <col min="14622" max="14622" width="9.5703125" style="9" customWidth="1"/>
    <col min="14623" max="14623" width="11.42578125" style="9" customWidth="1"/>
    <col min="14624" max="14624" width="9.140625" style="9"/>
    <col min="14625" max="14625" width="12.5703125" style="9" bestFit="1" customWidth="1"/>
    <col min="14626" max="14626" width="20.140625" style="9" bestFit="1" customWidth="1"/>
    <col min="14627" max="14848" width="9.140625" style="9"/>
    <col min="14849" max="14849" width="5.42578125" style="9" customWidth="1"/>
    <col min="14850" max="14850" width="45.140625" style="9" customWidth="1"/>
    <col min="14851" max="14851" width="15.140625" style="9" customWidth="1"/>
    <col min="14852" max="14852" width="16.42578125" style="9" customWidth="1"/>
    <col min="14853" max="14853" width="17.140625" style="9" customWidth="1"/>
    <col min="14854" max="14856" width="0" style="9" hidden="1" customWidth="1"/>
    <col min="14857" max="14858" width="15.85546875" style="9" customWidth="1"/>
    <col min="14859" max="14859" width="11.140625" style="9" customWidth="1"/>
    <col min="14860" max="14860" width="11.85546875" style="9" customWidth="1"/>
    <col min="14861" max="14861" width="10.42578125" style="9" customWidth="1"/>
    <col min="14862" max="14862" width="16.42578125" style="9" customWidth="1"/>
    <col min="14863" max="14863" width="14.140625" style="9" customWidth="1"/>
    <col min="14864" max="14864" width="15.85546875" style="9" customWidth="1"/>
    <col min="14865" max="14866" width="0" style="9" hidden="1" customWidth="1"/>
    <col min="14867" max="14867" width="11.85546875" style="9" customWidth="1"/>
    <col min="14868" max="14868" width="15.85546875" style="9" customWidth="1"/>
    <col min="14869" max="14869" width="15.42578125" style="9" customWidth="1"/>
    <col min="14870" max="14870" width="12.42578125" style="9" customWidth="1"/>
    <col min="14871" max="14871" width="11.140625" style="9" customWidth="1"/>
    <col min="14872" max="14872" width="15.42578125" style="9" customWidth="1"/>
    <col min="14873" max="14874" width="0" style="9" hidden="1" customWidth="1"/>
    <col min="14875" max="14875" width="15" style="9" customWidth="1"/>
    <col min="14876" max="14876" width="9.42578125" style="9" customWidth="1"/>
    <col min="14877" max="14877" width="10.5703125" style="9" customWidth="1"/>
    <col min="14878" max="14878" width="9.5703125" style="9" customWidth="1"/>
    <col min="14879" max="14879" width="11.42578125" style="9" customWidth="1"/>
    <col min="14880" max="14880" width="9.140625" style="9"/>
    <col min="14881" max="14881" width="12.5703125" style="9" bestFit="1" customWidth="1"/>
    <col min="14882" max="14882" width="20.140625" style="9" bestFit="1" customWidth="1"/>
    <col min="14883" max="15104" width="9.140625" style="9"/>
    <col min="15105" max="15105" width="5.42578125" style="9" customWidth="1"/>
    <col min="15106" max="15106" width="45.140625" style="9" customWidth="1"/>
    <col min="15107" max="15107" width="15.140625" style="9" customWidth="1"/>
    <col min="15108" max="15108" width="16.42578125" style="9" customWidth="1"/>
    <col min="15109" max="15109" width="17.140625" style="9" customWidth="1"/>
    <col min="15110" max="15112" width="0" style="9" hidden="1" customWidth="1"/>
    <col min="15113" max="15114" width="15.85546875" style="9" customWidth="1"/>
    <col min="15115" max="15115" width="11.140625" style="9" customWidth="1"/>
    <col min="15116" max="15116" width="11.85546875" style="9" customWidth="1"/>
    <col min="15117" max="15117" width="10.42578125" style="9" customWidth="1"/>
    <col min="15118" max="15118" width="16.42578125" style="9" customWidth="1"/>
    <col min="15119" max="15119" width="14.140625" style="9" customWidth="1"/>
    <col min="15120" max="15120" width="15.85546875" style="9" customWidth="1"/>
    <col min="15121" max="15122" width="0" style="9" hidden="1" customWidth="1"/>
    <col min="15123" max="15123" width="11.85546875" style="9" customWidth="1"/>
    <col min="15124" max="15124" width="15.85546875" style="9" customWidth="1"/>
    <col min="15125" max="15125" width="15.42578125" style="9" customWidth="1"/>
    <col min="15126" max="15126" width="12.42578125" style="9" customWidth="1"/>
    <col min="15127" max="15127" width="11.140625" style="9" customWidth="1"/>
    <col min="15128" max="15128" width="15.42578125" style="9" customWidth="1"/>
    <col min="15129" max="15130" width="0" style="9" hidden="1" customWidth="1"/>
    <col min="15131" max="15131" width="15" style="9" customWidth="1"/>
    <col min="15132" max="15132" width="9.42578125" style="9" customWidth="1"/>
    <col min="15133" max="15133" width="10.5703125" style="9" customWidth="1"/>
    <col min="15134" max="15134" width="9.5703125" style="9" customWidth="1"/>
    <col min="15135" max="15135" width="11.42578125" style="9" customWidth="1"/>
    <col min="15136" max="15136" width="9.140625" style="9"/>
    <col min="15137" max="15137" width="12.5703125" style="9" bestFit="1" customWidth="1"/>
    <col min="15138" max="15138" width="20.140625" style="9" bestFit="1" customWidth="1"/>
    <col min="15139" max="15360" width="9.140625" style="9"/>
    <col min="15361" max="15361" width="5.42578125" style="9" customWidth="1"/>
    <col min="15362" max="15362" width="45.140625" style="9" customWidth="1"/>
    <col min="15363" max="15363" width="15.140625" style="9" customWidth="1"/>
    <col min="15364" max="15364" width="16.42578125" style="9" customWidth="1"/>
    <col min="15365" max="15365" width="17.140625" style="9" customWidth="1"/>
    <col min="15366" max="15368" width="0" style="9" hidden="1" customWidth="1"/>
    <col min="15369" max="15370" width="15.85546875" style="9" customWidth="1"/>
    <col min="15371" max="15371" width="11.140625" style="9" customWidth="1"/>
    <col min="15372" max="15372" width="11.85546875" style="9" customWidth="1"/>
    <col min="15373" max="15373" width="10.42578125" style="9" customWidth="1"/>
    <col min="15374" max="15374" width="16.42578125" style="9" customWidth="1"/>
    <col min="15375" max="15375" width="14.140625" style="9" customWidth="1"/>
    <col min="15376" max="15376" width="15.85546875" style="9" customWidth="1"/>
    <col min="15377" max="15378" width="0" style="9" hidden="1" customWidth="1"/>
    <col min="15379" max="15379" width="11.85546875" style="9" customWidth="1"/>
    <col min="15380" max="15380" width="15.85546875" style="9" customWidth="1"/>
    <col min="15381" max="15381" width="15.42578125" style="9" customWidth="1"/>
    <col min="15382" max="15382" width="12.42578125" style="9" customWidth="1"/>
    <col min="15383" max="15383" width="11.140625" style="9" customWidth="1"/>
    <col min="15384" max="15384" width="15.42578125" style="9" customWidth="1"/>
    <col min="15385" max="15386" width="0" style="9" hidden="1" customWidth="1"/>
    <col min="15387" max="15387" width="15" style="9" customWidth="1"/>
    <col min="15388" max="15388" width="9.42578125" style="9" customWidth="1"/>
    <col min="15389" max="15389" width="10.5703125" style="9" customWidth="1"/>
    <col min="15390" max="15390" width="9.5703125" style="9" customWidth="1"/>
    <col min="15391" max="15391" width="11.42578125" style="9" customWidth="1"/>
    <col min="15392" max="15392" width="9.140625" style="9"/>
    <col min="15393" max="15393" width="12.5703125" style="9" bestFit="1" customWidth="1"/>
    <col min="15394" max="15394" width="20.140625" style="9" bestFit="1" customWidth="1"/>
    <col min="15395" max="15616" width="9.140625" style="9"/>
    <col min="15617" max="15617" width="5.42578125" style="9" customWidth="1"/>
    <col min="15618" max="15618" width="45.140625" style="9" customWidth="1"/>
    <col min="15619" max="15619" width="15.140625" style="9" customWidth="1"/>
    <col min="15620" max="15620" width="16.42578125" style="9" customWidth="1"/>
    <col min="15621" max="15621" width="17.140625" style="9" customWidth="1"/>
    <col min="15622" max="15624" width="0" style="9" hidden="1" customWidth="1"/>
    <col min="15625" max="15626" width="15.85546875" style="9" customWidth="1"/>
    <col min="15627" max="15627" width="11.140625" style="9" customWidth="1"/>
    <col min="15628" max="15628" width="11.85546875" style="9" customWidth="1"/>
    <col min="15629" max="15629" width="10.42578125" style="9" customWidth="1"/>
    <col min="15630" max="15630" width="16.42578125" style="9" customWidth="1"/>
    <col min="15631" max="15631" width="14.140625" style="9" customWidth="1"/>
    <col min="15632" max="15632" width="15.85546875" style="9" customWidth="1"/>
    <col min="15633" max="15634" width="0" style="9" hidden="1" customWidth="1"/>
    <col min="15635" max="15635" width="11.85546875" style="9" customWidth="1"/>
    <col min="15636" max="15636" width="15.85546875" style="9" customWidth="1"/>
    <col min="15637" max="15637" width="15.42578125" style="9" customWidth="1"/>
    <col min="15638" max="15638" width="12.42578125" style="9" customWidth="1"/>
    <col min="15639" max="15639" width="11.140625" style="9" customWidth="1"/>
    <col min="15640" max="15640" width="15.42578125" style="9" customWidth="1"/>
    <col min="15641" max="15642" width="0" style="9" hidden="1" customWidth="1"/>
    <col min="15643" max="15643" width="15" style="9" customWidth="1"/>
    <col min="15644" max="15644" width="9.42578125" style="9" customWidth="1"/>
    <col min="15645" max="15645" width="10.5703125" style="9" customWidth="1"/>
    <col min="15646" max="15646" width="9.5703125" style="9" customWidth="1"/>
    <col min="15647" max="15647" width="11.42578125" style="9" customWidth="1"/>
    <col min="15648" max="15648" width="9.140625" style="9"/>
    <col min="15649" max="15649" width="12.5703125" style="9" bestFit="1" customWidth="1"/>
    <col min="15650" max="15650" width="20.140625" style="9" bestFit="1" customWidth="1"/>
    <col min="15651" max="15872" width="9.140625" style="9"/>
    <col min="15873" max="15873" width="5.42578125" style="9" customWidth="1"/>
    <col min="15874" max="15874" width="45.140625" style="9" customWidth="1"/>
    <col min="15875" max="15875" width="15.140625" style="9" customWidth="1"/>
    <col min="15876" max="15876" width="16.42578125" style="9" customWidth="1"/>
    <col min="15877" max="15877" width="17.140625" style="9" customWidth="1"/>
    <col min="15878" max="15880" width="0" style="9" hidden="1" customWidth="1"/>
    <col min="15881" max="15882" width="15.85546875" style="9" customWidth="1"/>
    <col min="15883" max="15883" width="11.140625" style="9" customWidth="1"/>
    <col min="15884" max="15884" width="11.85546875" style="9" customWidth="1"/>
    <col min="15885" max="15885" width="10.42578125" style="9" customWidth="1"/>
    <col min="15886" max="15886" width="16.42578125" style="9" customWidth="1"/>
    <col min="15887" max="15887" width="14.140625" style="9" customWidth="1"/>
    <col min="15888" max="15888" width="15.85546875" style="9" customWidth="1"/>
    <col min="15889" max="15890" width="0" style="9" hidden="1" customWidth="1"/>
    <col min="15891" max="15891" width="11.85546875" style="9" customWidth="1"/>
    <col min="15892" max="15892" width="15.85546875" style="9" customWidth="1"/>
    <col min="15893" max="15893" width="15.42578125" style="9" customWidth="1"/>
    <col min="15894" max="15894" width="12.42578125" style="9" customWidth="1"/>
    <col min="15895" max="15895" width="11.140625" style="9" customWidth="1"/>
    <col min="15896" max="15896" width="15.42578125" style="9" customWidth="1"/>
    <col min="15897" max="15898" width="0" style="9" hidden="1" customWidth="1"/>
    <col min="15899" max="15899" width="15" style="9" customWidth="1"/>
    <col min="15900" max="15900" width="9.42578125" style="9" customWidth="1"/>
    <col min="15901" max="15901" width="10.5703125" style="9" customWidth="1"/>
    <col min="15902" max="15902" width="9.5703125" style="9" customWidth="1"/>
    <col min="15903" max="15903" width="11.42578125" style="9" customWidth="1"/>
    <col min="15904" max="15904" width="9.140625" style="9"/>
    <col min="15905" max="15905" width="12.5703125" style="9" bestFit="1" customWidth="1"/>
    <col min="15906" max="15906" width="20.140625" style="9" bestFit="1" customWidth="1"/>
    <col min="15907" max="16128" width="9.140625" style="9"/>
    <col min="16129" max="16129" width="5.42578125" style="9" customWidth="1"/>
    <col min="16130" max="16130" width="45.140625" style="9" customWidth="1"/>
    <col min="16131" max="16131" width="15.140625" style="9" customWidth="1"/>
    <col min="16132" max="16132" width="16.42578125" style="9" customWidth="1"/>
    <col min="16133" max="16133" width="17.140625" style="9" customWidth="1"/>
    <col min="16134" max="16136" width="0" style="9" hidden="1" customWidth="1"/>
    <col min="16137" max="16138" width="15.85546875" style="9" customWidth="1"/>
    <col min="16139" max="16139" width="11.140625" style="9" customWidth="1"/>
    <col min="16140" max="16140" width="11.85546875" style="9" customWidth="1"/>
    <col min="16141" max="16141" width="10.42578125" style="9" customWidth="1"/>
    <col min="16142" max="16142" width="16.42578125" style="9" customWidth="1"/>
    <col min="16143" max="16143" width="14.140625" style="9" customWidth="1"/>
    <col min="16144" max="16144" width="15.85546875" style="9" customWidth="1"/>
    <col min="16145" max="16146" width="0" style="9" hidden="1" customWidth="1"/>
    <col min="16147" max="16147" width="11.85546875" style="9" customWidth="1"/>
    <col min="16148" max="16148" width="15.85546875" style="9" customWidth="1"/>
    <col min="16149" max="16149" width="15.42578125" style="9" customWidth="1"/>
    <col min="16150" max="16150" width="12.42578125" style="9" customWidth="1"/>
    <col min="16151" max="16151" width="11.140625" style="9" customWidth="1"/>
    <col min="16152" max="16152" width="15.42578125" style="9" customWidth="1"/>
    <col min="16153" max="16154" width="0" style="9" hidden="1" customWidth="1"/>
    <col min="16155" max="16155" width="15" style="9" customWidth="1"/>
    <col min="16156" max="16156" width="9.42578125" style="9" customWidth="1"/>
    <col min="16157" max="16157" width="10.5703125" style="9" customWidth="1"/>
    <col min="16158" max="16158" width="9.5703125" style="9" customWidth="1"/>
    <col min="16159" max="16159" width="11.42578125" style="9" customWidth="1"/>
    <col min="16160" max="16160" width="9.140625" style="9"/>
    <col min="16161" max="16161" width="12.5703125" style="9" bestFit="1" customWidth="1"/>
    <col min="16162" max="16162" width="20.140625" style="9" bestFit="1" customWidth="1"/>
    <col min="16163" max="16384" width="9.140625" style="9"/>
  </cols>
  <sheetData>
    <row r="1" spans="1:35" ht="16.5" x14ac:dyDescent="0.25">
      <c r="A1" s="63"/>
      <c r="B1" s="67"/>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341" t="s">
        <v>96</v>
      </c>
      <c r="AD1" s="341"/>
      <c r="AE1" s="341"/>
      <c r="AF1" s="9"/>
    </row>
    <row r="2" spans="1:35" x14ac:dyDescent="0.25">
      <c r="A2" s="31"/>
      <c r="C2" s="6"/>
      <c r="D2" s="29"/>
      <c r="G2" s="6"/>
      <c r="O2" s="29"/>
      <c r="AB2" s="6"/>
      <c r="AF2" s="9"/>
    </row>
    <row r="3" spans="1:35" ht="21.75" customHeight="1" x14ac:dyDescent="0.25">
      <c r="A3" s="328" t="s">
        <v>646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64"/>
    </row>
    <row r="4" spans="1:35" ht="21.75" customHeight="1" x14ac:dyDescent="0.25">
      <c r="A4" s="342" t="s">
        <v>720</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64"/>
    </row>
    <row r="5" spans="1:35" ht="21.75" customHeight="1" x14ac:dyDescent="0.25">
      <c r="A5" s="134"/>
      <c r="B5" s="65"/>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4"/>
    </row>
    <row r="6" spans="1:35" x14ac:dyDescent="0.25">
      <c r="B6" s="30"/>
      <c r="C6" s="6"/>
      <c r="D6" s="6"/>
      <c r="E6" s="6"/>
      <c r="F6" s="6"/>
      <c r="G6" s="6"/>
      <c r="H6" s="6"/>
      <c r="I6" s="6"/>
      <c r="J6" s="6"/>
      <c r="K6" s="6"/>
      <c r="L6" s="6"/>
      <c r="M6" s="6"/>
      <c r="N6" s="6"/>
      <c r="O6" s="6"/>
      <c r="P6" s="6"/>
      <c r="Q6" s="6"/>
      <c r="R6" s="6"/>
      <c r="S6" s="6"/>
      <c r="T6" s="6"/>
      <c r="U6" s="6"/>
      <c r="W6" s="29"/>
      <c r="X6" s="6"/>
      <c r="Y6" s="6"/>
      <c r="Z6" s="6"/>
      <c r="AA6" s="6"/>
      <c r="AB6" s="343"/>
      <c r="AC6" s="343"/>
      <c r="AD6" s="344" t="s">
        <v>252</v>
      </c>
      <c r="AE6" s="344"/>
      <c r="AF6" s="9"/>
    </row>
    <row r="7" spans="1:35" s="71" customFormat="1" ht="25.9" customHeight="1" x14ac:dyDescent="0.2">
      <c r="A7" s="338" t="s">
        <v>2</v>
      </c>
      <c r="B7" s="338" t="s">
        <v>97</v>
      </c>
      <c r="C7" s="335" t="s">
        <v>35</v>
      </c>
      <c r="D7" s="336"/>
      <c r="E7" s="336"/>
      <c r="F7" s="336"/>
      <c r="G7" s="336"/>
      <c r="H7" s="336"/>
      <c r="I7" s="336"/>
      <c r="J7" s="336"/>
      <c r="K7" s="336"/>
      <c r="L7" s="336"/>
      <c r="M7" s="337"/>
      <c r="N7" s="335" t="s">
        <v>5</v>
      </c>
      <c r="O7" s="336"/>
      <c r="P7" s="336"/>
      <c r="Q7" s="336"/>
      <c r="R7" s="336"/>
      <c r="S7" s="336"/>
      <c r="T7" s="336"/>
      <c r="U7" s="336"/>
      <c r="V7" s="336"/>
      <c r="W7" s="336"/>
      <c r="X7" s="336"/>
      <c r="Y7" s="294"/>
      <c r="Z7" s="294"/>
      <c r="AA7" s="294"/>
      <c r="AB7" s="338" t="s">
        <v>6</v>
      </c>
      <c r="AC7" s="338"/>
      <c r="AD7" s="338"/>
      <c r="AE7" s="338"/>
    </row>
    <row r="8" spans="1:35" s="71" customFormat="1" ht="25.5" customHeight="1" x14ac:dyDescent="0.2">
      <c r="A8" s="338"/>
      <c r="B8" s="338"/>
      <c r="C8" s="338" t="s">
        <v>253</v>
      </c>
      <c r="D8" s="338" t="s">
        <v>99</v>
      </c>
      <c r="E8" s="338" t="s">
        <v>100</v>
      </c>
      <c r="F8" s="338" t="s">
        <v>227</v>
      </c>
      <c r="G8" s="335" t="s">
        <v>228</v>
      </c>
      <c r="H8" s="337"/>
      <c r="I8" s="338" t="s">
        <v>254</v>
      </c>
      <c r="J8" s="338" t="s">
        <v>574</v>
      </c>
      <c r="K8" s="338" t="s">
        <v>101</v>
      </c>
      <c r="L8" s="338"/>
      <c r="M8" s="338"/>
      <c r="N8" s="338" t="s">
        <v>98</v>
      </c>
      <c r="O8" s="338" t="s">
        <v>99</v>
      </c>
      <c r="P8" s="338" t="s">
        <v>100</v>
      </c>
      <c r="Q8" s="339" t="s">
        <v>124</v>
      </c>
      <c r="R8" s="340"/>
      <c r="S8" s="338" t="s">
        <v>254</v>
      </c>
      <c r="T8" s="338" t="s">
        <v>575</v>
      </c>
      <c r="U8" s="338" t="s">
        <v>101</v>
      </c>
      <c r="V8" s="338"/>
      <c r="W8" s="338"/>
      <c r="X8" s="338" t="s">
        <v>102</v>
      </c>
      <c r="Y8" s="335" t="s">
        <v>124</v>
      </c>
      <c r="Z8" s="337"/>
      <c r="AA8" s="338" t="s">
        <v>255</v>
      </c>
      <c r="AB8" s="338" t="s">
        <v>98</v>
      </c>
      <c r="AC8" s="338" t="s">
        <v>99</v>
      </c>
      <c r="AD8" s="338" t="s">
        <v>100</v>
      </c>
      <c r="AE8" s="338" t="s">
        <v>101</v>
      </c>
    </row>
    <row r="9" spans="1:35" s="71" customFormat="1" ht="116.25" customHeight="1" x14ac:dyDescent="0.2">
      <c r="A9" s="338"/>
      <c r="B9" s="338"/>
      <c r="C9" s="338"/>
      <c r="D9" s="338"/>
      <c r="E9" s="338"/>
      <c r="F9" s="338"/>
      <c r="G9" s="69" t="s">
        <v>128</v>
      </c>
      <c r="H9" s="69" t="s">
        <v>127</v>
      </c>
      <c r="I9" s="338"/>
      <c r="J9" s="338"/>
      <c r="K9" s="69" t="s">
        <v>98</v>
      </c>
      <c r="L9" s="69" t="s">
        <v>103</v>
      </c>
      <c r="M9" s="69" t="s">
        <v>104</v>
      </c>
      <c r="N9" s="338"/>
      <c r="O9" s="338"/>
      <c r="P9" s="338"/>
      <c r="Q9" s="295" t="s">
        <v>158</v>
      </c>
      <c r="R9" s="295" t="s">
        <v>159</v>
      </c>
      <c r="S9" s="338"/>
      <c r="T9" s="338"/>
      <c r="U9" s="69" t="s">
        <v>98</v>
      </c>
      <c r="V9" s="69" t="s">
        <v>103</v>
      </c>
      <c r="W9" s="69" t="s">
        <v>104</v>
      </c>
      <c r="X9" s="338"/>
      <c r="Y9" s="69" t="s">
        <v>161</v>
      </c>
      <c r="Z9" s="69" t="s">
        <v>160</v>
      </c>
      <c r="AA9" s="338"/>
      <c r="AB9" s="338"/>
      <c r="AC9" s="338"/>
      <c r="AD9" s="338"/>
      <c r="AE9" s="338"/>
    </row>
    <row r="10" spans="1:35" s="296" customFormat="1" ht="33.75" customHeight="1" x14ac:dyDescent="0.2">
      <c r="A10" s="117" t="s">
        <v>7</v>
      </c>
      <c r="B10" s="117" t="s">
        <v>8</v>
      </c>
      <c r="C10" s="117" t="s">
        <v>152</v>
      </c>
      <c r="D10" s="117">
        <v>2</v>
      </c>
      <c r="E10" s="117">
        <v>3</v>
      </c>
      <c r="F10" s="117"/>
      <c r="G10" s="117"/>
      <c r="H10" s="117"/>
      <c r="I10" s="117">
        <v>4</v>
      </c>
      <c r="J10" s="117">
        <v>5</v>
      </c>
      <c r="K10" s="117" t="s">
        <v>141</v>
      </c>
      <c r="L10" s="117">
        <v>7</v>
      </c>
      <c r="M10" s="117">
        <v>8</v>
      </c>
      <c r="N10" s="117" t="s">
        <v>516</v>
      </c>
      <c r="O10" s="117">
        <v>10</v>
      </c>
      <c r="P10" s="117">
        <v>11</v>
      </c>
      <c r="Q10" s="117"/>
      <c r="R10" s="117"/>
      <c r="S10" s="117">
        <v>12</v>
      </c>
      <c r="T10" s="117">
        <v>13</v>
      </c>
      <c r="U10" s="117" t="s">
        <v>153</v>
      </c>
      <c r="V10" s="117">
        <v>15</v>
      </c>
      <c r="W10" s="117">
        <v>16</v>
      </c>
      <c r="X10" s="117" t="s">
        <v>517</v>
      </c>
      <c r="Y10" s="117">
        <v>18</v>
      </c>
      <c r="Z10" s="117">
        <v>19</v>
      </c>
      <c r="AA10" s="117">
        <v>20</v>
      </c>
      <c r="AB10" s="117" t="s">
        <v>518</v>
      </c>
      <c r="AC10" s="117" t="s">
        <v>519</v>
      </c>
      <c r="AD10" s="117" t="s">
        <v>520</v>
      </c>
      <c r="AE10" s="117" t="s">
        <v>521</v>
      </c>
    </row>
    <row r="11" spans="1:35" s="46" customFormat="1" ht="26.25" customHeight="1" x14ac:dyDescent="0.25">
      <c r="A11" s="297"/>
      <c r="B11" s="297"/>
      <c r="C11" s="297"/>
      <c r="D11" s="297"/>
      <c r="E11" s="297"/>
      <c r="F11" s="297"/>
      <c r="G11" s="297"/>
      <c r="H11" s="297"/>
      <c r="I11" s="297"/>
      <c r="J11" s="297"/>
      <c r="K11" s="297"/>
      <c r="L11" s="297"/>
      <c r="M11" s="297"/>
      <c r="N11" s="298"/>
      <c r="O11" s="299"/>
      <c r="P11" s="300"/>
      <c r="Q11" s="301"/>
      <c r="R11" s="297"/>
      <c r="S11" s="297"/>
      <c r="T11" s="297"/>
      <c r="U11" s="297"/>
      <c r="V11" s="297"/>
      <c r="W11" s="297"/>
      <c r="X11" s="297"/>
      <c r="Y11" s="297"/>
      <c r="Z11" s="297"/>
      <c r="AA11" s="297"/>
      <c r="AB11" s="297"/>
      <c r="AC11" s="297"/>
      <c r="AD11" s="297"/>
      <c r="AE11" s="297"/>
    </row>
    <row r="12" spans="1:35" s="46" customFormat="1" ht="24.75" customHeight="1" x14ac:dyDescent="0.25">
      <c r="A12" s="76"/>
      <c r="B12" s="76" t="s">
        <v>98</v>
      </c>
      <c r="C12" s="76">
        <v>4861647.4558450002</v>
      </c>
      <c r="D12" s="76">
        <v>1753444.417562</v>
      </c>
      <c r="E12" s="76">
        <v>1804680.0382830002</v>
      </c>
      <c r="F12" s="76">
        <v>1680763.0382830002</v>
      </c>
      <c r="G12" s="76">
        <v>3790</v>
      </c>
      <c r="H12" s="76">
        <v>59126</v>
      </c>
      <c r="I12" s="76">
        <v>2200</v>
      </c>
      <c r="J12" s="76">
        <v>1301323</v>
      </c>
      <c r="K12" s="76">
        <v>0</v>
      </c>
      <c r="L12" s="76">
        <v>0</v>
      </c>
      <c r="M12" s="76">
        <v>0</v>
      </c>
      <c r="N12" s="76">
        <v>5884741.7289760001</v>
      </c>
      <c r="O12" s="76">
        <v>1716505.5503489999</v>
      </c>
      <c r="P12" s="76">
        <v>1800607.1564369998</v>
      </c>
      <c r="Q12" s="76">
        <v>1460838.5994149998</v>
      </c>
      <c r="R12" s="76">
        <v>339768.55702200002</v>
      </c>
      <c r="S12" s="76">
        <v>9699.7659999999996</v>
      </c>
      <c r="T12" s="76">
        <v>35154</v>
      </c>
      <c r="U12" s="76">
        <v>48959.139996999998</v>
      </c>
      <c r="V12" s="76">
        <v>3304</v>
      </c>
      <c r="W12" s="76">
        <v>45655.139996999991</v>
      </c>
      <c r="X12" s="76">
        <v>1955445.8067010001</v>
      </c>
      <c r="Y12" s="76">
        <v>0</v>
      </c>
      <c r="Z12" s="76">
        <v>0</v>
      </c>
      <c r="AA12" s="76">
        <v>318370.00949199998</v>
      </c>
      <c r="AB12" s="77">
        <f t="shared" ref="AB12:AC27" si="0">N12/C12%</f>
        <v>121.04418887677605</v>
      </c>
      <c r="AC12" s="77">
        <f>O12/D12%</f>
        <v>97.893353969876046</v>
      </c>
      <c r="AD12" s="77">
        <f t="shared" ref="AD12:AD72" si="1">P12/E12%</f>
        <v>99.774315570649549</v>
      </c>
      <c r="AE12" s="77"/>
      <c r="AG12" s="54"/>
    </row>
    <row r="13" spans="1:35" s="46" customFormat="1" ht="33.75" customHeight="1" x14ac:dyDescent="0.25">
      <c r="A13" s="76" t="s">
        <v>39</v>
      </c>
      <c r="B13" s="78" t="s">
        <v>256</v>
      </c>
      <c r="C13" s="76">
        <v>3497123.4558450002</v>
      </c>
      <c r="D13" s="76">
        <v>1753444.417562</v>
      </c>
      <c r="E13" s="76">
        <v>1743679.0382830002</v>
      </c>
      <c r="F13" s="76">
        <v>1680763.0382830002</v>
      </c>
      <c r="G13" s="76">
        <v>3790</v>
      </c>
      <c r="H13" s="76">
        <v>59126</v>
      </c>
      <c r="I13" s="76">
        <v>0</v>
      </c>
      <c r="J13" s="76">
        <v>0</v>
      </c>
      <c r="K13" s="76">
        <v>0</v>
      </c>
      <c r="L13" s="76">
        <v>0</v>
      </c>
      <c r="M13" s="76">
        <v>0</v>
      </c>
      <c r="N13" s="76">
        <v>3566071.8467830005</v>
      </c>
      <c r="O13" s="76">
        <v>1716505.5503489999</v>
      </c>
      <c r="P13" s="76">
        <v>1800607.1564369998</v>
      </c>
      <c r="Q13" s="76">
        <v>1460838.5994149998</v>
      </c>
      <c r="R13" s="76">
        <v>339768.55702200002</v>
      </c>
      <c r="S13" s="76">
        <v>0</v>
      </c>
      <c r="T13" s="76">
        <v>0</v>
      </c>
      <c r="U13" s="76">
        <v>48959.139996999998</v>
      </c>
      <c r="V13" s="76">
        <v>3304</v>
      </c>
      <c r="W13" s="76">
        <v>45655.139996999991</v>
      </c>
      <c r="X13" s="76">
        <v>0</v>
      </c>
      <c r="Y13" s="76">
        <v>0</v>
      </c>
      <c r="Z13" s="76">
        <v>0</v>
      </c>
      <c r="AA13" s="76"/>
      <c r="AB13" s="77">
        <f t="shared" si="0"/>
        <v>101.97157440417958</v>
      </c>
      <c r="AC13" s="77">
        <f t="shared" si="0"/>
        <v>97.893353969876046</v>
      </c>
      <c r="AD13" s="77">
        <f t="shared" si="1"/>
        <v>103.26482780971298</v>
      </c>
      <c r="AE13" s="77"/>
      <c r="AG13" s="54"/>
      <c r="AH13" s="79"/>
      <c r="AI13" s="54"/>
    </row>
    <row r="14" spans="1:35" s="46" customFormat="1" ht="24" customHeight="1" x14ac:dyDescent="0.25">
      <c r="A14" s="76" t="s">
        <v>257</v>
      </c>
      <c r="B14" s="78" t="s">
        <v>258</v>
      </c>
      <c r="C14" s="76">
        <v>3246257.4558450002</v>
      </c>
      <c r="D14" s="76">
        <v>1502578.417562</v>
      </c>
      <c r="E14" s="76">
        <v>1743679.0382830002</v>
      </c>
      <c r="F14" s="76">
        <v>1680763.0382830002</v>
      </c>
      <c r="G14" s="76">
        <v>3790</v>
      </c>
      <c r="H14" s="76">
        <v>59126</v>
      </c>
      <c r="I14" s="76">
        <v>0</v>
      </c>
      <c r="J14" s="76">
        <v>0</v>
      </c>
      <c r="K14" s="76">
        <v>0</v>
      </c>
      <c r="L14" s="76">
        <v>0</v>
      </c>
      <c r="M14" s="76">
        <v>0</v>
      </c>
      <c r="N14" s="76">
        <v>3135728.3458790006</v>
      </c>
      <c r="O14" s="76">
        <v>1286212.0494449998</v>
      </c>
      <c r="P14" s="76">
        <v>1800607.1564369998</v>
      </c>
      <c r="Q14" s="76">
        <v>1460838.5994149998</v>
      </c>
      <c r="R14" s="76">
        <v>339768.55702200002</v>
      </c>
      <c r="S14" s="76">
        <v>0</v>
      </c>
      <c r="T14" s="76">
        <v>0</v>
      </c>
      <c r="U14" s="76">
        <v>48909.139996999998</v>
      </c>
      <c r="V14" s="76">
        <v>3254</v>
      </c>
      <c r="W14" s="76">
        <v>45655.139996999991</v>
      </c>
      <c r="X14" s="76">
        <v>0</v>
      </c>
      <c r="Y14" s="76">
        <v>0</v>
      </c>
      <c r="Z14" s="76">
        <v>0</v>
      </c>
      <c r="AA14" s="76">
        <v>0</v>
      </c>
      <c r="AB14" s="77">
        <f t="shared" si="0"/>
        <v>96.595183485308965</v>
      </c>
      <c r="AC14" s="77">
        <f t="shared" si="0"/>
        <v>85.600327704156413</v>
      </c>
      <c r="AD14" s="77">
        <f t="shared" si="1"/>
        <v>103.26482780971298</v>
      </c>
      <c r="AE14" s="77"/>
      <c r="AG14" s="54"/>
      <c r="AH14" s="79"/>
      <c r="AI14" s="54"/>
    </row>
    <row r="15" spans="1:35" s="16" customFormat="1" ht="39.75" customHeight="1" x14ac:dyDescent="0.25">
      <c r="A15" s="80" t="s">
        <v>259</v>
      </c>
      <c r="B15" s="81" t="s">
        <v>576</v>
      </c>
      <c r="C15" s="82">
        <v>134617</v>
      </c>
      <c r="D15" s="82">
        <v>0</v>
      </c>
      <c r="E15" s="82">
        <v>134617</v>
      </c>
      <c r="F15" s="82">
        <v>134617</v>
      </c>
      <c r="G15" s="82"/>
      <c r="H15" s="82"/>
      <c r="I15" s="82"/>
      <c r="J15" s="82"/>
      <c r="K15" s="82">
        <v>0</v>
      </c>
      <c r="L15" s="82"/>
      <c r="M15" s="82"/>
      <c r="N15" s="82">
        <v>126874.823317</v>
      </c>
      <c r="O15" s="82"/>
      <c r="P15" s="83">
        <v>121092.07612900001</v>
      </c>
      <c r="Q15" s="82">
        <v>121092.07612900001</v>
      </c>
      <c r="R15" s="83"/>
      <c r="S15" s="82"/>
      <c r="T15" s="82"/>
      <c r="U15" s="82">
        <v>5782.7471880000003</v>
      </c>
      <c r="V15" s="82"/>
      <c r="W15" s="82">
        <v>5782.7471880000003</v>
      </c>
      <c r="X15" s="82"/>
      <c r="Y15" s="82"/>
      <c r="Z15" s="82"/>
      <c r="AA15" s="82"/>
      <c r="AB15" s="84">
        <f t="shared" si="0"/>
        <v>94.248737764918246</v>
      </c>
      <c r="AC15" s="84">
        <v>0</v>
      </c>
      <c r="AD15" s="84">
        <f t="shared" si="1"/>
        <v>89.953034259417464</v>
      </c>
      <c r="AE15" s="84"/>
    </row>
    <row r="16" spans="1:35" s="16" customFormat="1" ht="24.75" customHeight="1" x14ac:dyDescent="0.25">
      <c r="A16" s="85" t="s">
        <v>261</v>
      </c>
      <c r="B16" s="86" t="s">
        <v>577</v>
      </c>
      <c r="C16" s="82">
        <v>44232</v>
      </c>
      <c r="D16" s="82">
        <v>15699</v>
      </c>
      <c r="E16" s="82">
        <v>28533</v>
      </c>
      <c r="F16" s="82">
        <v>28533</v>
      </c>
      <c r="G16" s="82"/>
      <c r="H16" s="82"/>
      <c r="I16" s="82"/>
      <c r="J16" s="82"/>
      <c r="K16" s="82">
        <v>0</v>
      </c>
      <c r="L16" s="82"/>
      <c r="M16" s="82"/>
      <c r="N16" s="82">
        <v>44658.542472000001</v>
      </c>
      <c r="O16" s="82">
        <v>11364.845472000001</v>
      </c>
      <c r="P16" s="83">
        <v>33293.697</v>
      </c>
      <c r="Q16" s="82">
        <v>33293.697</v>
      </c>
      <c r="R16" s="82"/>
      <c r="S16" s="82"/>
      <c r="T16" s="82"/>
      <c r="U16" s="82">
        <v>0</v>
      </c>
      <c r="V16" s="82"/>
      <c r="W16" s="82"/>
      <c r="X16" s="82"/>
      <c r="Y16" s="82"/>
      <c r="Z16" s="82"/>
      <c r="AA16" s="82"/>
      <c r="AB16" s="84">
        <f t="shared" si="0"/>
        <v>100.9643300596853</v>
      </c>
      <c r="AC16" s="84">
        <f t="shared" si="0"/>
        <v>72.392161742786172</v>
      </c>
      <c r="AD16" s="84">
        <f t="shared" si="1"/>
        <v>116.68488066449375</v>
      </c>
      <c r="AE16" s="84"/>
      <c r="AG16" s="55"/>
    </row>
    <row r="17" spans="1:31" s="16" customFormat="1" ht="24.75" customHeight="1" x14ac:dyDescent="0.25">
      <c r="A17" s="80" t="s">
        <v>263</v>
      </c>
      <c r="B17" s="87" t="s">
        <v>578</v>
      </c>
      <c r="C17" s="82">
        <v>194981</v>
      </c>
      <c r="D17" s="82">
        <v>117000</v>
      </c>
      <c r="E17" s="82">
        <v>77981</v>
      </c>
      <c r="F17" s="82">
        <v>34054</v>
      </c>
      <c r="G17" s="82"/>
      <c r="H17" s="82">
        <v>43927</v>
      </c>
      <c r="I17" s="82"/>
      <c r="J17" s="82"/>
      <c r="K17" s="82">
        <v>0</v>
      </c>
      <c r="L17" s="82"/>
      <c r="M17" s="82"/>
      <c r="N17" s="82">
        <v>114107.70840200002</v>
      </c>
      <c r="O17" s="82">
        <v>26257.656500000005</v>
      </c>
      <c r="P17" s="83">
        <v>87850.051902000007</v>
      </c>
      <c r="Q17" s="82">
        <v>87850.051902000007</v>
      </c>
      <c r="R17" s="83"/>
      <c r="S17" s="82"/>
      <c r="T17" s="82"/>
      <c r="U17" s="82">
        <v>0</v>
      </c>
      <c r="V17" s="82"/>
      <c r="W17" s="82"/>
      <c r="X17" s="82"/>
      <c r="Y17" s="82"/>
      <c r="Z17" s="82"/>
      <c r="AA17" s="82"/>
      <c r="AB17" s="84">
        <f t="shared" si="0"/>
        <v>58.522475729430056</v>
      </c>
      <c r="AC17" s="84"/>
      <c r="AD17" s="84">
        <f t="shared" si="1"/>
        <v>112.65571344558292</v>
      </c>
      <c r="AE17" s="84"/>
    </row>
    <row r="18" spans="1:31" s="16" customFormat="1" ht="24.75" customHeight="1" x14ac:dyDescent="0.25">
      <c r="A18" s="85" t="s">
        <v>265</v>
      </c>
      <c r="B18" s="87" t="s">
        <v>579</v>
      </c>
      <c r="C18" s="82">
        <v>1650</v>
      </c>
      <c r="D18" s="88"/>
      <c r="E18" s="82">
        <v>1650</v>
      </c>
      <c r="F18" s="82">
        <v>350</v>
      </c>
      <c r="G18" s="82"/>
      <c r="H18" s="82">
        <v>1300</v>
      </c>
      <c r="I18" s="82"/>
      <c r="J18" s="82"/>
      <c r="K18" s="82">
        <v>0</v>
      </c>
      <c r="L18" s="82"/>
      <c r="M18" s="82"/>
      <c r="N18" s="82">
        <v>1289.5282099999999</v>
      </c>
      <c r="O18" s="82"/>
      <c r="P18" s="83">
        <v>1289.5282099999999</v>
      </c>
      <c r="Q18" s="82">
        <v>1289.5282099999999</v>
      </c>
      <c r="R18" s="82"/>
      <c r="S18" s="82"/>
      <c r="T18" s="82"/>
      <c r="U18" s="82">
        <v>0</v>
      </c>
      <c r="V18" s="82"/>
      <c r="W18" s="82"/>
      <c r="X18" s="82"/>
      <c r="Y18" s="82"/>
      <c r="Z18" s="82"/>
      <c r="AA18" s="82"/>
      <c r="AB18" s="84">
        <f t="shared" si="0"/>
        <v>78.15322484848484</v>
      </c>
      <c r="AC18" s="84">
        <v>0</v>
      </c>
      <c r="AD18" s="84">
        <f t="shared" si="1"/>
        <v>78.15322484848484</v>
      </c>
      <c r="AE18" s="84"/>
    </row>
    <row r="19" spans="1:31" s="16" customFormat="1" ht="24.75" customHeight="1" x14ac:dyDescent="0.25">
      <c r="A19" s="80" t="s">
        <v>267</v>
      </c>
      <c r="B19" s="81" t="s">
        <v>580</v>
      </c>
      <c r="C19" s="82">
        <v>6871</v>
      </c>
      <c r="D19" s="82"/>
      <c r="E19" s="82">
        <v>6871</v>
      </c>
      <c r="F19" s="82">
        <v>6871</v>
      </c>
      <c r="G19" s="82"/>
      <c r="H19" s="82"/>
      <c r="I19" s="82"/>
      <c r="J19" s="82"/>
      <c r="K19" s="82">
        <v>0</v>
      </c>
      <c r="L19" s="82"/>
      <c r="M19" s="82"/>
      <c r="N19" s="82">
        <v>7268.9339749999999</v>
      </c>
      <c r="O19" s="82"/>
      <c r="P19" s="83">
        <v>7268.9339749999999</v>
      </c>
      <c r="Q19" s="83">
        <v>7268.9339749999999</v>
      </c>
      <c r="R19" s="82"/>
      <c r="S19" s="82"/>
      <c r="T19" s="82"/>
      <c r="U19" s="82">
        <v>0</v>
      </c>
      <c r="V19" s="82"/>
      <c r="W19" s="82"/>
      <c r="X19" s="82"/>
      <c r="Y19" s="82"/>
      <c r="Z19" s="82"/>
      <c r="AA19" s="82"/>
      <c r="AB19" s="84">
        <f t="shared" si="0"/>
        <v>105.79150014553923</v>
      </c>
      <c r="AC19" s="84">
        <v>0</v>
      </c>
      <c r="AD19" s="84">
        <f t="shared" si="1"/>
        <v>105.79150014553923</v>
      </c>
      <c r="AE19" s="84"/>
    </row>
    <row r="20" spans="1:31" s="16" customFormat="1" ht="24.75" customHeight="1" x14ac:dyDescent="0.25">
      <c r="A20" s="85" t="s">
        <v>269</v>
      </c>
      <c r="B20" s="87" t="s">
        <v>581</v>
      </c>
      <c r="C20" s="82">
        <v>26756</v>
      </c>
      <c r="D20" s="82">
        <v>60</v>
      </c>
      <c r="E20" s="82">
        <v>26696</v>
      </c>
      <c r="F20" s="82">
        <v>26696</v>
      </c>
      <c r="G20" s="82"/>
      <c r="H20" s="82"/>
      <c r="I20" s="82"/>
      <c r="J20" s="82"/>
      <c r="K20" s="82">
        <v>0</v>
      </c>
      <c r="L20" s="82"/>
      <c r="M20" s="82"/>
      <c r="N20" s="82">
        <v>74077.473856000011</v>
      </c>
      <c r="O20" s="82">
        <v>9.6</v>
      </c>
      <c r="P20" s="83">
        <v>74067.873856000006</v>
      </c>
      <c r="Q20" s="89">
        <v>74067.873856000006</v>
      </c>
      <c r="R20" s="82"/>
      <c r="S20" s="82"/>
      <c r="T20" s="82"/>
      <c r="U20" s="82">
        <v>0</v>
      </c>
      <c r="V20" s="82"/>
      <c r="W20" s="82"/>
      <c r="X20" s="82"/>
      <c r="Y20" s="82"/>
      <c r="Z20" s="82"/>
      <c r="AA20" s="82"/>
      <c r="AB20" s="84">
        <f t="shared" si="0"/>
        <v>276.8630357901032</v>
      </c>
      <c r="AC20" s="84">
        <f t="shared" si="0"/>
        <v>16</v>
      </c>
      <c r="AD20" s="84">
        <f t="shared" si="1"/>
        <v>277.44933269403663</v>
      </c>
      <c r="AE20" s="84"/>
    </row>
    <row r="21" spans="1:31" s="16" customFormat="1" ht="24.75" customHeight="1" x14ac:dyDescent="0.25">
      <c r="A21" s="80" t="s">
        <v>271</v>
      </c>
      <c r="B21" s="87" t="s">
        <v>582</v>
      </c>
      <c r="C21" s="82">
        <v>9381</v>
      </c>
      <c r="D21" s="82">
        <v>121</v>
      </c>
      <c r="E21" s="82">
        <v>9260</v>
      </c>
      <c r="F21" s="82">
        <v>9260</v>
      </c>
      <c r="G21" s="82"/>
      <c r="H21" s="82"/>
      <c r="I21" s="82"/>
      <c r="J21" s="82"/>
      <c r="K21" s="82">
        <v>0</v>
      </c>
      <c r="L21" s="82"/>
      <c r="M21" s="82"/>
      <c r="N21" s="82">
        <v>9151.2887800000008</v>
      </c>
      <c r="O21" s="82">
        <v>224.04399999999998</v>
      </c>
      <c r="P21" s="83">
        <v>8783.4415800000006</v>
      </c>
      <c r="Q21" s="82">
        <v>8783.4415800000006</v>
      </c>
      <c r="R21" s="82"/>
      <c r="S21" s="82"/>
      <c r="T21" s="82"/>
      <c r="U21" s="82">
        <v>143.8032</v>
      </c>
      <c r="V21" s="82"/>
      <c r="W21" s="82">
        <v>143.8032</v>
      </c>
      <c r="X21" s="82"/>
      <c r="Y21" s="82"/>
      <c r="Z21" s="82"/>
      <c r="AA21" s="82"/>
      <c r="AB21" s="84">
        <f t="shared" si="0"/>
        <v>97.551314145613475</v>
      </c>
      <c r="AC21" s="84">
        <f t="shared" si="0"/>
        <v>185.1603305785124</v>
      </c>
      <c r="AD21" s="84">
        <f t="shared" si="1"/>
        <v>94.853580777537815</v>
      </c>
      <c r="AE21" s="84"/>
    </row>
    <row r="22" spans="1:31" s="16" customFormat="1" ht="24.75" customHeight="1" x14ac:dyDescent="0.25">
      <c r="A22" s="85" t="s">
        <v>273</v>
      </c>
      <c r="B22" s="87" t="s">
        <v>583</v>
      </c>
      <c r="C22" s="82">
        <v>382256</v>
      </c>
      <c r="D22" s="82">
        <v>17368</v>
      </c>
      <c r="E22" s="82">
        <v>364888</v>
      </c>
      <c r="F22" s="82">
        <v>364838</v>
      </c>
      <c r="G22" s="82"/>
      <c r="H22" s="82">
        <v>50</v>
      </c>
      <c r="I22" s="82"/>
      <c r="J22" s="82"/>
      <c r="K22" s="82">
        <v>0</v>
      </c>
      <c r="L22" s="82"/>
      <c r="M22" s="82"/>
      <c r="N22" s="82">
        <v>354590.46224999998</v>
      </c>
      <c r="O22" s="82">
        <v>19796.729953000002</v>
      </c>
      <c r="P22" s="83">
        <v>334743.23229700001</v>
      </c>
      <c r="Q22" s="82">
        <v>334743.23229700001</v>
      </c>
      <c r="R22" s="82"/>
      <c r="S22" s="82"/>
      <c r="T22" s="82"/>
      <c r="U22" s="82">
        <v>50.5</v>
      </c>
      <c r="V22" s="82"/>
      <c r="W22" s="82">
        <v>50.5</v>
      </c>
      <c r="X22" s="82"/>
      <c r="Y22" s="82"/>
      <c r="Z22" s="82"/>
      <c r="AA22" s="82"/>
      <c r="AB22" s="84">
        <f t="shared" si="0"/>
        <v>92.76256285055041</v>
      </c>
      <c r="AC22" s="84">
        <f t="shared" si="0"/>
        <v>113.98393570359282</v>
      </c>
      <c r="AD22" s="84">
        <f t="shared" si="1"/>
        <v>91.738624536022016</v>
      </c>
      <c r="AE22" s="84"/>
    </row>
    <row r="23" spans="1:31" s="16" customFormat="1" ht="24.75" customHeight="1" x14ac:dyDescent="0.25">
      <c r="A23" s="80" t="s">
        <v>274</v>
      </c>
      <c r="B23" s="87" t="s">
        <v>584</v>
      </c>
      <c r="C23" s="82">
        <v>283176</v>
      </c>
      <c r="D23" s="82">
        <v>22122</v>
      </c>
      <c r="E23" s="82">
        <v>261054</v>
      </c>
      <c r="F23" s="82">
        <v>261054</v>
      </c>
      <c r="G23" s="82"/>
      <c r="H23" s="82"/>
      <c r="I23" s="82"/>
      <c r="J23" s="82"/>
      <c r="K23" s="82">
        <v>0</v>
      </c>
      <c r="L23" s="82"/>
      <c r="M23" s="82"/>
      <c r="N23" s="82">
        <v>349551.85693100002</v>
      </c>
      <c r="O23" s="82">
        <v>45135.283832000001</v>
      </c>
      <c r="P23" s="83">
        <v>301266.07205800002</v>
      </c>
      <c r="Q23" s="82">
        <v>290852.55532000004</v>
      </c>
      <c r="R23" s="82">
        <v>10413.516738</v>
      </c>
      <c r="S23" s="82"/>
      <c r="T23" s="82"/>
      <c r="U23" s="82">
        <v>3150.501041</v>
      </c>
      <c r="V23" s="82"/>
      <c r="W23" s="82">
        <v>3150.501041</v>
      </c>
      <c r="X23" s="82"/>
      <c r="Y23" s="82"/>
      <c r="Z23" s="82"/>
      <c r="AA23" s="82"/>
      <c r="AB23" s="84">
        <f t="shared" si="0"/>
        <v>123.43978901142752</v>
      </c>
      <c r="AC23" s="84">
        <f t="shared" si="0"/>
        <v>204.02894779857155</v>
      </c>
      <c r="AD23" s="84">
        <f t="shared" si="1"/>
        <v>115.40373718004705</v>
      </c>
      <c r="AE23" s="84"/>
    </row>
    <row r="24" spans="1:31" s="16" customFormat="1" ht="24.75" customHeight="1" x14ac:dyDescent="0.25">
      <c r="A24" s="85" t="s">
        <v>276</v>
      </c>
      <c r="B24" s="87" t="s">
        <v>585</v>
      </c>
      <c r="C24" s="82">
        <v>81625</v>
      </c>
      <c r="D24" s="82">
        <v>28000</v>
      </c>
      <c r="E24" s="82">
        <v>53625</v>
      </c>
      <c r="F24" s="82">
        <v>53575</v>
      </c>
      <c r="G24" s="82"/>
      <c r="H24" s="82">
        <v>50</v>
      </c>
      <c r="I24" s="82"/>
      <c r="J24" s="82"/>
      <c r="K24" s="82">
        <v>0</v>
      </c>
      <c r="L24" s="82"/>
      <c r="M24" s="82"/>
      <c r="N24" s="82">
        <v>90894.526602999991</v>
      </c>
      <c r="O24" s="82">
        <v>34609.872302999996</v>
      </c>
      <c r="P24" s="83">
        <v>54321.116750000008</v>
      </c>
      <c r="Q24" s="82">
        <v>54321.116750000008</v>
      </c>
      <c r="R24" s="82"/>
      <c r="S24" s="82"/>
      <c r="T24" s="82"/>
      <c r="U24" s="82">
        <v>1963.53755</v>
      </c>
      <c r="V24" s="82"/>
      <c r="W24" s="82">
        <v>1963.53755</v>
      </c>
      <c r="X24" s="82"/>
      <c r="Y24" s="82"/>
      <c r="Z24" s="82"/>
      <c r="AA24" s="82"/>
      <c r="AB24" s="84">
        <f t="shared" si="0"/>
        <v>111.35623473568145</v>
      </c>
      <c r="AC24" s="84"/>
      <c r="AD24" s="84">
        <f t="shared" si="1"/>
        <v>101.29811981351983</v>
      </c>
      <c r="AE24" s="84"/>
    </row>
    <row r="25" spans="1:31" s="16" customFormat="1" ht="34.5" customHeight="1" x14ac:dyDescent="0.25">
      <c r="A25" s="80" t="s">
        <v>278</v>
      </c>
      <c r="B25" s="87" t="s">
        <v>586</v>
      </c>
      <c r="C25" s="82">
        <v>294068</v>
      </c>
      <c r="D25" s="82"/>
      <c r="E25" s="82">
        <v>294068</v>
      </c>
      <c r="F25" s="82">
        <v>294068</v>
      </c>
      <c r="G25" s="82"/>
      <c r="H25" s="82"/>
      <c r="I25" s="82"/>
      <c r="J25" s="82"/>
      <c r="K25" s="82">
        <v>0</v>
      </c>
      <c r="L25" s="82"/>
      <c r="M25" s="82"/>
      <c r="N25" s="82">
        <v>267001.22110900003</v>
      </c>
      <c r="O25" s="82"/>
      <c r="P25" s="83">
        <v>266266.31071300001</v>
      </c>
      <c r="Q25" s="82">
        <v>24442.663079999998</v>
      </c>
      <c r="R25" s="82">
        <v>241823.64763299999</v>
      </c>
      <c r="S25" s="82"/>
      <c r="T25" s="82"/>
      <c r="U25" s="82">
        <v>734.91039599999999</v>
      </c>
      <c r="V25" s="82"/>
      <c r="W25" s="82">
        <v>734.91039599999999</v>
      </c>
      <c r="X25" s="82"/>
      <c r="Y25" s="82"/>
      <c r="Z25" s="82"/>
      <c r="AA25" s="82"/>
      <c r="AB25" s="84">
        <f t="shared" si="0"/>
        <v>90.795741498224913</v>
      </c>
      <c r="AC25" s="84">
        <v>0</v>
      </c>
      <c r="AD25" s="84">
        <f t="shared" si="1"/>
        <v>90.54582977848662</v>
      </c>
      <c r="AE25" s="84"/>
    </row>
    <row r="26" spans="1:31" s="16" customFormat="1" ht="24.75" customHeight="1" x14ac:dyDescent="0.25">
      <c r="A26" s="85" t="s">
        <v>280</v>
      </c>
      <c r="B26" s="87" t="s">
        <v>587</v>
      </c>
      <c r="C26" s="82">
        <v>9522</v>
      </c>
      <c r="D26" s="82"/>
      <c r="E26" s="82">
        <v>9522</v>
      </c>
      <c r="F26" s="82">
        <v>9482</v>
      </c>
      <c r="G26" s="82"/>
      <c r="H26" s="82">
        <v>40</v>
      </c>
      <c r="I26" s="82"/>
      <c r="J26" s="82"/>
      <c r="K26" s="82">
        <v>0</v>
      </c>
      <c r="L26" s="82"/>
      <c r="M26" s="82"/>
      <c r="N26" s="82">
        <v>9034.2178640000002</v>
      </c>
      <c r="O26" s="82"/>
      <c r="P26" s="83">
        <v>9010.2178640000002</v>
      </c>
      <c r="Q26" s="82">
        <v>9010.2178640000002</v>
      </c>
      <c r="R26" s="82"/>
      <c r="S26" s="82"/>
      <c r="T26" s="82"/>
      <c r="U26" s="82">
        <v>24</v>
      </c>
      <c r="V26" s="82"/>
      <c r="W26" s="82">
        <v>24</v>
      </c>
      <c r="X26" s="82"/>
      <c r="Y26" s="82"/>
      <c r="Z26" s="82"/>
      <c r="AA26" s="82"/>
      <c r="AB26" s="84">
        <f t="shared" si="0"/>
        <v>94.877314261709728</v>
      </c>
      <c r="AC26" s="84">
        <v>0</v>
      </c>
      <c r="AD26" s="84">
        <f t="shared" si="1"/>
        <v>94.625266372610795</v>
      </c>
      <c r="AE26" s="84"/>
    </row>
    <row r="27" spans="1:31" s="16" customFormat="1" ht="24.75" customHeight="1" x14ac:dyDescent="0.25">
      <c r="A27" s="80" t="s">
        <v>282</v>
      </c>
      <c r="B27" s="87" t="s">
        <v>588</v>
      </c>
      <c r="C27" s="82">
        <v>152024</v>
      </c>
      <c r="D27" s="82">
        <v>75000</v>
      </c>
      <c r="E27" s="82">
        <v>77024</v>
      </c>
      <c r="F27" s="82">
        <v>76969</v>
      </c>
      <c r="G27" s="82"/>
      <c r="H27" s="82">
        <v>55</v>
      </c>
      <c r="I27" s="82"/>
      <c r="J27" s="82"/>
      <c r="K27" s="82">
        <v>0</v>
      </c>
      <c r="L27" s="82"/>
      <c r="M27" s="82"/>
      <c r="N27" s="82">
        <v>192598.75335399999</v>
      </c>
      <c r="O27" s="82">
        <v>125937.831143</v>
      </c>
      <c r="P27" s="83">
        <v>66652.922210999997</v>
      </c>
      <c r="Q27" s="82"/>
      <c r="R27" s="82">
        <v>66652.922210999997</v>
      </c>
      <c r="S27" s="82"/>
      <c r="T27" s="82"/>
      <c r="U27" s="82">
        <v>8</v>
      </c>
      <c r="V27" s="82"/>
      <c r="W27" s="82">
        <v>8</v>
      </c>
      <c r="X27" s="82"/>
      <c r="Y27" s="82"/>
      <c r="Z27" s="82"/>
      <c r="AA27" s="82"/>
      <c r="AB27" s="84">
        <f t="shared" si="0"/>
        <v>126.68970251670788</v>
      </c>
      <c r="AC27" s="84">
        <f t="shared" si="0"/>
        <v>167.91710819066668</v>
      </c>
      <c r="AD27" s="84">
        <f t="shared" si="1"/>
        <v>86.535264607135431</v>
      </c>
      <c r="AE27" s="84"/>
    </row>
    <row r="28" spans="1:31" s="16" customFormat="1" ht="24.75" customHeight="1" x14ac:dyDescent="0.25">
      <c r="A28" s="85" t="s">
        <v>284</v>
      </c>
      <c r="B28" s="87" t="s">
        <v>589</v>
      </c>
      <c r="C28" s="82">
        <v>33333</v>
      </c>
      <c r="D28" s="82">
        <v>12900</v>
      </c>
      <c r="E28" s="82">
        <v>20433</v>
      </c>
      <c r="F28" s="82">
        <v>19433</v>
      </c>
      <c r="G28" s="82"/>
      <c r="H28" s="82">
        <v>1000</v>
      </c>
      <c r="I28" s="82"/>
      <c r="J28" s="82"/>
      <c r="K28" s="82">
        <v>0</v>
      </c>
      <c r="L28" s="82"/>
      <c r="M28" s="82"/>
      <c r="N28" s="82">
        <v>19039.100151999999</v>
      </c>
      <c r="O28" s="82">
        <v>3917.049591</v>
      </c>
      <c r="P28" s="83">
        <v>15122.050561</v>
      </c>
      <c r="Q28" s="82">
        <v>15122.050561</v>
      </c>
      <c r="R28" s="82"/>
      <c r="S28" s="82"/>
      <c r="T28" s="82"/>
      <c r="U28" s="82">
        <v>0</v>
      </c>
      <c r="V28" s="82"/>
      <c r="W28" s="82"/>
      <c r="X28" s="82"/>
      <c r="Y28" s="82"/>
      <c r="Z28" s="82"/>
      <c r="AA28" s="82"/>
      <c r="AB28" s="84">
        <f t="shared" ref="AB28:AC78" si="2">N28/C28%</f>
        <v>57.117871634716344</v>
      </c>
      <c r="AC28" s="84"/>
      <c r="AD28" s="84">
        <f t="shared" si="1"/>
        <v>74.007980037194727</v>
      </c>
      <c r="AE28" s="84"/>
    </row>
    <row r="29" spans="1:31" s="16" customFormat="1" ht="24.75" customHeight="1" x14ac:dyDescent="0.25">
      <c r="A29" s="80" t="s">
        <v>286</v>
      </c>
      <c r="B29" s="87" t="s">
        <v>590</v>
      </c>
      <c r="C29" s="82">
        <v>11634</v>
      </c>
      <c r="D29" s="82"/>
      <c r="E29" s="82">
        <v>11634</v>
      </c>
      <c r="F29" s="82">
        <v>11504</v>
      </c>
      <c r="G29" s="82"/>
      <c r="H29" s="82">
        <v>130</v>
      </c>
      <c r="I29" s="82"/>
      <c r="J29" s="82"/>
      <c r="K29" s="82">
        <v>0</v>
      </c>
      <c r="L29" s="82"/>
      <c r="M29" s="82"/>
      <c r="N29" s="82">
        <v>8632.8559999999998</v>
      </c>
      <c r="O29" s="82"/>
      <c r="P29" s="83">
        <v>8608.8559999999998</v>
      </c>
      <c r="Q29" s="82">
        <v>8608.8559999999998</v>
      </c>
      <c r="R29" s="82"/>
      <c r="S29" s="82"/>
      <c r="T29" s="82"/>
      <c r="U29" s="82">
        <v>24</v>
      </c>
      <c r="V29" s="82"/>
      <c r="W29" s="82">
        <v>24</v>
      </c>
      <c r="X29" s="82"/>
      <c r="Y29" s="82"/>
      <c r="Z29" s="82"/>
      <c r="AA29" s="82"/>
      <c r="AB29" s="84">
        <f t="shared" si="2"/>
        <v>74.203678872270928</v>
      </c>
      <c r="AC29" s="84">
        <v>0</v>
      </c>
      <c r="AD29" s="84">
        <f t="shared" si="1"/>
        <v>73.997386969228117</v>
      </c>
      <c r="AE29" s="84"/>
    </row>
    <row r="30" spans="1:31" s="16" customFormat="1" ht="24.75" customHeight="1" x14ac:dyDescent="0.25">
      <c r="A30" s="85" t="s">
        <v>288</v>
      </c>
      <c r="B30" s="87" t="s">
        <v>591</v>
      </c>
      <c r="C30" s="82">
        <v>18463</v>
      </c>
      <c r="D30" s="82">
        <v>100</v>
      </c>
      <c r="E30" s="82">
        <v>18363</v>
      </c>
      <c r="F30" s="82">
        <v>18323</v>
      </c>
      <c r="G30" s="82"/>
      <c r="H30" s="82">
        <v>40</v>
      </c>
      <c r="I30" s="82"/>
      <c r="J30" s="82"/>
      <c r="K30" s="82">
        <v>0</v>
      </c>
      <c r="L30" s="82"/>
      <c r="M30" s="82"/>
      <c r="N30" s="82">
        <v>24174.636032000002</v>
      </c>
      <c r="O30" s="82">
        <v>98</v>
      </c>
      <c r="P30" s="83">
        <v>23680.219832000002</v>
      </c>
      <c r="Q30" s="83">
        <v>23680.219832000002</v>
      </c>
      <c r="R30" s="82"/>
      <c r="S30" s="82"/>
      <c r="T30" s="82"/>
      <c r="U30" s="82">
        <v>396.4162</v>
      </c>
      <c r="V30" s="82"/>
      <c r="W30" s="82">
        <v>396.4162</v>
      </c>
      <c r="X30" s="82"/>
      <c r="Y30" s="82"/>
      <c r="Z30" s="82"/>
      <c r="AA30" s="82"/>
      <c r="AB30" s="84">
        <f t="shared" si="2"/>
        <v>130.93557943996103</v>
      </c>
      <c r="AC30" s="84">
        <f t="shared" si="2"/>
        <v>98</v>
      </c>
      <c r="AD30" s="84">
        <f t="shared" si="1"/>
        <v>128.95616093230956</v>
      </c>
      <c r="AE30" s="84"/>
    </row>
    <row r="31" spans="1:31" s="16" customFormat="1" ht="24.75" customHeight="1" x14ac:dyDescent="0.25">
      <c r="A31" s="80" t="s">
        <v>290</v>
      </c>
      <c r="B31" s="87" t="s">
        <v>592</v>
      </c>
      <c r="C31" s="82">
        <v>180023.11300000001</v>
      </c>
      <c r="D31" s="82">
        <v>166563.11300000001</v>
      </c>
      <c r="E31" s="82">
        <v>13460</v>
      </c>
      <c r="F31" s="82">
        <v>13460</v>
      </c>
      <c r="G31" s="82"/>
      <c r="H31" s="82"/>
      <c r="I31" s="82"/>
      <c r="J31" s="82"/>
      <c r="K31" s="82">
        <v>0</v>
      </c>
      <c r="L31" s="82"/>
      <c r="M31" s="82"/>
      <c r="N31" s="82">
        <v>243090.370115</v>
      </c>
      <c r="O31" s="82">
        <v>230005.93015199999</v>
      </c>
      <c r="P31" s="83">
        <v>13084.439962999999</v>
      </c>
      <c r="Q31" s="82">
        <v>13084.439962999999</v>
      </c>
      <c r="R31" s="82"/>
      <c r="S31" s="82"/>
      <c r="T31" s="82"/>
      <c r="U31" s="82">
        <v>0</v>
      </c>
      <c r="V31" s="82"/>
      <c r="W31" s="82"/>
      <c r="X31" s="82"/>
      <c r="Y31" s="82"/>
      <c r="Z31" s="82"/>
      <c r="AA31" s="82"/>
      <c r="AB31" s="84">
        <f t="shared" si="2"/>
        <v>135.03286664918409</v>
      </c>
      <c r="AC31" s="84">
        <f t="shared" si="2"/>
        <v>138.08935604607723</v>
      </c>
      <c r="AD31" s="84">
        <f t="shared" si="1"/>
        <v>97.209806560178308</v>
      </c>
      <c r="AE31" s="84"/>
    </row>
    <row r="32" spans="1:31" s="16" customFormat="1" ht="24.75" customHeight="1" x14ac:dyDescent="0.25">
      <c r="A32" s="85" t="s">
        <v>292</v>
      </c>
      <c r="B32" s="87" t="s">
        <v>289</v>
      </c>
      <c r="C32" s="82">
        <v>23996</v>
      </c>
      <c r="D32" s="82">
        <v>10000</v>
      </c>
      <c r="E32" s="82">
        <v>13996</v>
      </c>
      <c r="F32" s="82">
        <v>13996</v>
      </c>
      <c r="G32" s="82"/>
      <c r="H32" s="82"/>
      <c r="I32" s="82"/>
      <c r="J32" s="82"/>
      <c r="K32" s="82">
        <v>0</v>
      </c>
      <c r="L32" s="82"/>
      <c r="M32" s="82"/>
      <c r="N32" s="82">
        <v>22973.522837999997</v>
      </c>
      <c r="O32" s="82">
        <v>2101.658668</v>
      </c>
      <c r="P32" s="83">
        <v>20484.768169999996</v>
      </c>
      <c r="Q32" s="82">
        <v>20484.768169999996</v>
      </c>
      <c r="R32" s="82"/>
      <c r="S32" s="82"/>
      <c r="T32" s="82"/>
      <c r="U32" s="82">
        <v>387.096</v>
      </c>
      <c r="V32" s="82"/>
      <c r="W32" s="82">
        <v>387.096</v>
      </c>
      <c r="X32" s="82"/>
      <c r="Y32" s="82"/>
      <c r="Z32" s="82"/>
      <c r="AA32" s="82"/>
      <c r="AB32" s="84">
        <f t="shared" si="2"/>
        <v>95.738968319719945</v>
      </c>
      <c r="AC32" s="84"/>
      <c r="AD32" s="84">
        <f t="shared" si="1"/>
        <v>146.36159024006855</v>
      </c>
      <c r="AE32" s="84"/>
    </row>
    <row r="33" spans="1:31" s="16" customFormat="1" ht="24.75" customHeight="1" x14ac:dyDescent="0.25">
      <c r="A33" s="80" t="s">
        <v>293</v>
      </c>
      <c r="B33" s="87" t="s">
        <v>593</v>
      </c>
      <c r="C33" s="82">
        <v>30774</v>
      </c>
      <c r="D33" s="82">
        <v>20000</v>
      </c>
      <c r="E33" s="82">
        <v>10774</v>
      </c>
      <c r="F33" s="82">
        <v>10774</v>
      </c>
      <c r="G33" s="82"/>
      <c r="H33" s="82"/>
      <c r="I33" s="82"/>
      <c r="J33" s="82"/>
      <c r="K33" s="82">
        <v>0</v>
      </c>
      <c r="L33" s="82"/>
      <c r="M33" s="82"/>
      <c r="N33" s="82">
        <v>21085.863165999999</v>
      </c>
      <c r="O33" s="82">
        <v>6218.2613979999996</v>
      </c>
      <c r="P33" s="83">
        <v>9797.2457800000011</v>
      </c>
      <c r="Q33" s="82">
        <v>9797.2457800000011</v>
      </c>
      <c r="R33" s="82"/>
      <c r="S33" s="82"/>
      <c r="T33" s="82"/>
      <c r="U33" s="82">
        <v>5070.3559880000003</v>
      </c>
      <c r="V33" s="82"/>
      <c r="W33" s="82">
        <v>5070.3559880000003</v>
      </c>
      <c r="X33" s="82"/>
      <c r="Y33" s="82"/>
      <c r="Z33" s="82"/>
      <c r="AA33" s="82"/>
      <c r="AB33" s="84">
        <f t="shared" si="2"/>
        <v>68.518434932085526</v>
      </c>
      <c r="AC33" s="84"/>
      <c r="AD33" s="84">
        <f t="shared" si="1"/>
        <v>90.934154260256193</v>
      </c>
      <c r="AE33" s="84"/>
    </row>
    <row r="34" spans="1:31" s="16" customFormat="1" ht="24.75" customHeight="1" x14ac:dyDescent="0.25">
      <c r="A34" s="85" t="s">
        <v>295</v>
      </c>
      <c r="B34" s="87" t="s">
        <v>594</v>
      </c>
      <c r="C34" s="82">
        <v>41908</v>
      </c>
      <c r="D34" s="82">
        <v>5000</v>
      </c>
      <c r="E34" s="82">
        <v>36908</v>
      </c>
      <c r="F34" s="82">
        <v>36908</v>
      </c>
      <c r="G34" s="82"/>
      <c r="H34" s="82"/>
      <c r="I34" s="82"/>
      <c r="J34" s="82"/>
      <c r="K34" s="82">
        <v>0</v>
      </c>
      <c r="L34" s="82"/>
      <c r="M34" s="82"/>
      <c r="N34" s="82">
        <v>60514.746218</v>
      </c>
      <c r="O34" s="82">
        <v>9425.8744999999999</v>
      </c>
      <c r="P34" s="83">
        <v>39855.344286</v>
      </c>
      <c r="Q34" s="82">
        <v>39855.344286</v>
      </c>
      <c r="R34" s="82"/>
      <c r="S34" s="82"/>
      <c r="T34" s="82"/>
      <c r="U34" s="82">
        <v>11233.527431999999</v>
      </c>
      <c r="V34" s="82">
        <v>3254</v>
      </c>
      <c r="W34" s="82">
        <v>7979.5274319999999</v>
      </c>
      <c r="X34" s="82"/>
      <c r="Y34" s="82"/>
      <c r="Z34" s="82"/>
      <c r="AA34" s="82"/>
      <c r="AB34" s="84">
        <f t="shared" si="2"/>
        <v>144.39903173141167</v>
      </c>
      <c r="AC34" s="84"/>
      <c r="AD34" s="84">
        <f t="shared" si="1"/>
        <v>107.98565158231278</v>
      </c>
      <c r="AE34" s="84"/>
    </row>
    <row r="35" spans="1:31" s="16" customFormat="1" ht="24.75" customHeight="1" x14ac:dyDescent="0.25">
      <c r="A35" s="80" t="s">
        <v>296</v>
      </c>
      <c r="B35" s="87" t="s">
        <v>595</v>
      </c>
      <c r="C35" s="82">
        <v>14884</v>
      </c>
      <c r="D35" s="82">
        <v>6000</v>
      </c>
      <c r="E35" s="82">
        <v>8884</v>
      </c>
      <c r="F35" s="82">
        <v>8884</v>
      </c>
      <c r="G35" s="82"/>
      <c r="H35" s="82"/>
      <c r="I35" s="82"/>
      <c r="J35" s="82"/>
      <c r="K35" s="82">
        <v>0</v>
      </c>
      <c r="L35" s="82"/>
      <c r="M35" s="82"/>
      <c r="N35" s="82">
        <v>18098.433181</v>
      </c>
      <c r="O35" s="82">
        <v>9652.17</v>
      </c>
      <c r="P35" s="83">
        <v>8446.2631810000003</v>
      </c>
      <c r="Q35" s="82">
        <v>8446.2631810000003</v>
      </c>
      <c r="R35" s="82"/>
      <c r="S35" s="82"/>
      <c r="T35" s="82"/>
      <c r="U35" s="82">
        <v>0</v>
      </c>
      <c r="V35" s="82"/>
      <c r="W35" s="82"/>
      <c r="X35" s="82"/>
      <c r="Y35" s="82"/>
      <c r="Z35" s="82"/>
      <c r="AA35" s="82"/>
      <c r="AB35" s="84">
        <f t="shared" si="2"/>
        <v>121.59656799919377</v>
      </c>
      <c r="AC35" s="84"/>
      <c r="AD35" s="84">
        <f t="shared" si="1"/>
        <v>95.072750799189549</v>
      </c>
      <c r="AE35" s="84"/>
    </row>
    <row r="36" spans="1:31" s="16" customFormat="1" ht="24.75" customHeight="1" x14ac:dyDescent="0.25">
      <c r="A36" s="85" t="s">
        <v>298</v>
      </c>
      <c r="B36" s="87" t="s">
        <v>596</v>
      </c>
      <c r="C36" s="82">
        <v>18656</v>
      </c>
      <c r="D36" s="82">
        <v>250</v>
      </c>
      <c r="E36" s="82">
        <v>18406</v>
      </c>
      <c r="F36" s="82">
        <v>18336</v>
      </c>
      <c r="G36" s="82"/>
      <c r="H36" s="82">
        <v>70</v>
      </c>
      <c r="I36" s="82"/>
      <c r="J36" s="82"/>
      <c r="K36" s="82">
        <v>0</v>
      </c>
      <c r="L36" s="82"/>
      <c r="M36" s="82"/>
      <c r="N36" s="82">
        <v>18159.357673999999</v>
      </c>
      <c r="O36" s="82">
        <v>189.78609199999988</v>
      </c>
      <c r="P36" s="83">
        <v>17969.571582</v>
      </c>
      <c r="Q36" s="82">
        <v>17969.571582</v>
      </c>
      <c r="R36" s="82"/>
      <c r="S36" s="82"/>
      <c r="T36" s="82"/>
      <c r="U36" s="82"/>
      <c r="V36" s="82"/>
      <c r="W36" s="82"/>
      <c r="X36" s="82"/>
      <c r="Y36" s="82"/>
      <c r="Z36" s="82"/>
      <c r="AA36" s="82"/>
      <c r="AB36" s="84">
        <f t="shared" si="2"/>
        <v>97.337894907804454</v>
      </c>
      <c r="AC36" s="84">
        <f t="shared" si="2"/>
        <v>75.914436799999947</v>
      </c>
      <c r="AD36" s="84">
        <f t="shared" si="1"/>
        <v>97.628879615342825</v>
      </c>
      <c r="AE36" s="84"/>
    </row>
    <row r="37" spans="1:31" s="16" customFormat="1" ht="24.75" customHeight="1" x14ac:dyDescent="0.25">
      <c r="A37" s="80" t="s">
        <v>299</v>
      </c>
      <c r="B37" s="87" t="s">
        <v>597</v>
      </c>
      <c r="C37" s="82">
        <v>4829</v>
      </c>
      <c r="D37" s="82"/>
      <c r="E37" s="82">
        <v>4829</v>
      </c>
      <c r="F37" s="82">
        <v>4829</v>
      </c>
      <c r="G37" s="82"/>
      <c r="H37" s="82"/>
      <c r="I37" s="82"/>
      <c r="J37" s="82"/>
      <c r="K37" s="82">
        <v>0</v>
      </c>
      <c r="L37" s="82"/>
      <c r="M37" s="82"/>
      <c r="N37" s="82">
        <v>4305</v>
      </c>
      <c r="O37" s="82"/>
      <c r="P37" s="83">
        <v>4305</v>
      </c>
      <c r="Q37" s="82">
        <v>4305</v>
      </c>
      <c r="R37" s="82"/>
      <c r="S37" s="82"/>
      <c r="T37" s="82"/>
      <c r="U37" s="82">
        <v>0</v>
      </c>
      <c r="V37" s="82"/>
      <c r="W37" s="82"/>
      <c r="X37" s="82"/>
      <c r="Y37" s="82"/>
      <c r="Z37" s="82"/>
      <c r="AA37" s="82"/>
      <c r="AB37" s="84">
        <f t="shared" si="2"/>
        <v>89.148892110167736</v>
      </c>
      <c r="AC37" s="84"/>
      <c r="AD37" s="84">
        <f t="shared" si="1"/>
        <v>89.148892110167736</v>
      </c>
      <c r="AE37" s="84"/>
    </row>
    <row r="38" spans="1:31" s="16" customFormat="1" ht="24.75" customHeight="1" x14ac:dyDescent="0.25">
      <c r="A38" s="85" t="s">
        <v>301</v>
      </c>
      <c r="B38" s="87" t="s">
        <v>131</v>
      </c>
      <c r="C38" s="82">
        <v>6698</v>
      </c>
      <c r="D38" s="82"/>
      <c r="E38" s="82">
        <v>6698</v>
      </c>
      <c r="F38" s="82">
        <v>6698</v>
      </c>
      <c r="G38" s="82"/>
      <c r="H38" s="82"/>
      <c r="I38" s="82"/>
      <c r="J38" s="82"/>
      <c r="K38" s="82">
        <v>0</v>
      </c>
      <c r="L38" s="82"/>
      <c r="M38" s="82"/>
      <c r="N38" s="82">
        <v>14255.653918</v>
      </c>
      <c r="O38" s="82">
        <v>3824.1689999999999</v>
      </c>
      <c r="P38" s="83">
        <v>6639.6764679999997</v>
      </c>
      <c r="Q38" s="82">
        <v>6639.6764679999997</v>
      </c>
      <c r="R38" s="82"/>
      <c r="S38" s="82"/>
      <c r="T38" s="82"/>
      <c r="U38" s="82">
        <v>3791.80845</v>
      </c>
      <c r="V38" s="82"/>
      <c r="W38" s="82">
        <v>3791.80845</v>
      </c>
      <c r="X38" s="82"/>
      <c r="Y38" s="82"/>
      <c r="Z38" s="82"/>
      <c r="AA38" s="82"/>
      <c r="AB38" s="84">
        <f t="shared" si="2"/>
        <v>212.8344866825918</v>
      </c>
      <c r="AC38" s="84">
        <v>0</v>
      </c>
      <c r="AD38" s="84">
        <f t="shared" si="1"/>
        <v>99.129239593908622</v>
      </c>
      <c r="AE38" s="84"/>
    </row>
    <row r="39" spans="1:31" s="16" customFormat="1" ht="24.75" customHeight="1" x14ac:dyDescent="0.25">
      <c r="A39" s="80" t="s">
        <v>303</v>
      </c>
      <c r="B39" s="87" t="s">
        <v>598</v>
      </c>
      <c r="C39" s="82">
        <v>7358</v>
      </c>
      <c r="D39" s="82"/>
      <c r="E39" s="82">
        <v>7358</v>
      </c>
      <c r="F39" s="82">
        <v>7358</v>
      </c>
      <c r="G39" s="82"/>
      <c r="H39" s="82"/>
      <c r="I39" s="82"/>
      <c r="J39" s="82"/>
      <c r="K39" s="82">
        <v>0</v>
      </c>
      <c r="L39" s="82"/>
      <c r="M39" s="82"/>
      <c r="N39" s="82">
        <v>17599.898540000002</v>
      </c>
      <c r="O39" s="82"/>
      <c r="P39" s="83">
        <v>17599.898540000002</v>
      </c>
      <c r="Q39" s="82">
        <v>17599.898540000002</v>
      </c>
      <c r="R39" s="82"/>
      <c r="S39" s="82"/>
      <c r="T39" s="82"/>
      <c r="U39" s="82">
        <v>0</v>
      </c>
      <c r="V39" s="82"/>
      <c r="W39" s="82"/>
      <c r="X39" s="82"/>
      <c r="Y39" s="82"/>
      <c r="Z39" s="82"/>
      <c r="AA39" s="82"/>
      <c r="AB39" s="84">
        <f t="shared" si="2"/>
        <v>239.19405463441154</v>
      </c>
      <c r="AC39" s="84"/>
      <c r="AD39" s="84">
        <f t="shared" si="1"/>
        <v>239.19405463441154</v>
      </c>
      <c r="AE39" s="84"/>
    </row>
    <row r="40" spans="1:31" s="16" customFormat="1" ht="24.75" customHeight="1" x14ac:dyDescent="0.25">
      <c r="A40" s="85" t="s">
        <v>305</v>
      </c>
      <c r="B40" s="87" t="s">
        <v>523</v>
      </c>
      <c r="C40" s="82">
        <v>7023</v>
      </c>
      <c r="D40" s="82"/>
      <c r="E40" s="82">
        <v>7023</v>
      </c>
      <c r="F40" s="82">
        <v>7023</v>
      </c>
      <c r="G40" s="82"/>
      <c r="H40" s="82"/>
      <c r="I40" s="82"/>
      <c r="J40" s="82"/>
      <c r="K40" s="82">
        <v>0</v>
      </c>
      <c r="L40" s="82"/>
      <c r="M40" s="82"/>
      <c r="N40" s="82">
        <v>8291.0548749999998</v>
      </c>
      <c r="O40" s="82"/>
      <c r="P40" s="83">
        <v>8291.0548749999998</v>
      </c>
      <c r="Q40" s="82">
        <v>8291.0548749999998</v>
      </c>
      <c r="R40" s="82"/>
      <c r="S40" s="82"/>
      <c r="T40" s="82"/>
      <c r="U40" s="82">
        <v>0</v>
      </c>
      <c r="V40" s="82"/>
      <c r="W40" s="82"/>
      <c r="X40" s="82"/>
      <c r="Y40" s="82"/>
      <c r="Z40" s="82"/>
      <c r="AA40" s="82"/>
      <c r="AB40" s="84">
        <f t="shared" si="2"/>
        <v>118.05574362807916</v>
      </c>
      <c r="AC40" s="84"/>
      <c r="AD40" s="84">
        <f t="shared" si="1"/>
        <v>118.05574362807916</v>
      </c>
      <c r="AE40" s="84"/>
    </row>
    <row r="41" spans="1:31" s="16" customFormat="1" ht="24.75" customHeight="1" x14ac:dyDescent="0.25">
      <c r="A41" s="80" t="s">
        <v>307</v>
      </c>
      <c r="B41" s="87" t="s">
        <v>599</v>
      </c>
      <c r="C41" s="82">
        <v>15025</v>
      </c>
      <c r="D41" s="82"/>
      <c r="E41" s="82">
        <v>15025</v>
      </c>
      <c r="F41" s="82">
        <v>15025</v>
      </c>
      <c r="G41" s="82"/>
      <c r="H41" s="82"/>
      <c r="I41" s="82"/>
      <c r="J41" s="82"/>
      <c r="K41" s="82">
        <v>0</v>
      </c>
      <c r="L41" s="82"/>
      <c r="M41" s="82"/>
      <c r="N41" s="82">
        <v>17695.725654999998</v>
      </c>
      <c r="O41" s="82">
        <v>3811.4070000000002</v>
      </c>
      <c r="P41" s="83">
        <v>13884.318654999999</v>
      </c>
      <c r="Q41" s="82">
        <v>13884.318654999999</v>
      </c>
      <c r="R41" s="82"/>
      <c r="S41" s="82"/>
      <c r="T41" s="82"/>
      <c r="U41" s="82">
        <v>0</v>
      </c>
      <c r="V41" s="82"/>
      <c r="W41" s="82"/>
      <c r="X41" s="82"/>
      <c r="Y41" s="82"/>
      <c r="Z41" s="82"/>
      <c r="AA41" s="82"/>
      <c r="AB41" s="84">
        <f t="shared" si="2"/>
        <v>117.77521234608984</v>
      </c>
      <c r="AC41" s="84"/>
      <c r="AD41" s="84">
        <f t="shared" si="1"/>
        <v>92.408110848585679</v>
      </c>
      <c r="AE41" s="84"/>
    </row>
    <row r="42" spans="1:31" s="16" customFormat="1" ht="24.75" customHeight="1" x14ac:dyDescent="0.25">
      <c r="A42" s="85" t="s">
        <v>309</v>
      </c>
      <c r="B42" s="87" t="s">
        <v>600</v>
      </c>
      <c r="C42" s="82">
        <v>309463</v>
      </c>
      <c r="D42" s="82">
        <v>297497</v>
      </c>
      <c r="E42" s="82">
        <v>11966</v>
      </c>
      <c r="F42" s="82">
        <v>11966</v>
      </c>
      <c r="G42" s="82"/>
      <c r="H42" s="82"/>
      <c r="I42" s="82"/>
      <c r="J42" s="82"/>
      <c r="K42" s="82">
        <v>0</v>
      </c>
      <c r="L42" s="82"/>
      <c r="M42" s="82"/>
      <c r="N42" s="82">
        <v>152635.16406000001</v>
      </c>
      <c r="O42" s="82">
        <v>141527.784751</v>
      </c>
      <c r="P42" s="83">
        <v>11099.779309</v>
      </c>
      <c r="Q42" s="82">
        <v>11099.779309</v>
      </c>
      <c r="R42" s="82"/>
      <c r="S42" s="82"/>
      <c r="T42" s="82"/>
      <c r="U42" s="82">
        <v>7.6</v>
      </c>
      <c r="V42" s="82"/>
      <c r="W42" s="82">
        <v>7.6</v>
      </c>
      <c r="X42" s="82"/>
      <c r="Y42" s="82"/>
      <c r="Z42" s="82"/>
      <c r="AA42" s="82"/>
      <c r="AB42" s="84">
        <f t="shared" si="2"/>
        <v>49.322589149591387</v>
      </c>
      <c r="AC42" s="84"/>
      <c r="AD42" s="84">
        <f t="shared" si="1"/>
        <v>92.7609836954705</v>
      </c>
      <c r="AE42" s="84"/>
    </row>
    <row r="43" spans="1:31" s="16" customFormat="1" ht="24.75" customHeight="1" x14ac:dyDescent="0.25">
      <c r="A43" s="80" t="s">
        <v>311</v>
      </c>
      <c r="B43" s="87" t="s">
        <v>601</v>
      </c>
      <c r="C43" s="82">
        <v>10898</v>
      </c>
      <c r="D43" s="82"/>
      <c r="E43" s="82">
        <v>10898</v>
      </c>
      <c r="F43" s="82">
        <v>10898</v>
      </c>
      <c r="G43" s="82"/>
      <c r="H43" s="82"/>
      <c r="I43" s="82"/>
      <c r="J43" s="82"/>
      <c r="K43" s="82">
        <v>0</v>
      </c>
      <c r="L43" s="82"/>
      <c r="M43" s="82"/>
      <c r="N43" s="82">
        <v>11294.098086</v>
      </c>
      <c r="O43" s="82"/>
      <c r="P43" s="83">
        <v>11286.098086</v>
      </c>
      <c r="Q43" s="82">
        <v>11286.098086</v>
      </c>
      <c r="R43" s="82"/>
      <c r="S43" s="82"/>
      <c r="T43" s="82"/>
      <c r="U43" s="82">
        <v>8</v>
      </c>
      <c r="V43" s="82"/>
      <c r="W43" s="82">
        <v>8</v>
      </c>
      <c r="X43" s="82"/>
      <c r="Y43" s="82"/>
      <c r="Z43" s="82"/>
      <c r="AA43" s="82"/>
      <c r="AB43" s="84">
        <f t="shared" si="2"/>
        <v>103.63459429253074</v>
      </c>
      <c r="AC43" s="84">
        <v>0</v>
      </c>
      <c r="AD43" s="84">
        <f t="shared" si="1"/>
        <v>103.56118632776656</v>
      </c>
      <c r="AE43" s="84"/>
    </row>
    <row r="44" spans="1:31" s="135" customFormat="1" ht="24.75" hidden="1" customHeight="1" outlineLevel="1" x14ac:dyDescent="0.25">
      <c r="A44" s="85" t="s">
        <v>313</v>
      </c>
      <c r="B44" s="87" t="s">
        <v>304</v>
      </c>
      <c r="C44" s="82">
        <v>36500</v>
      </c>
      <c r="D44" s="82">
        <v>0</v>
      </c>
      <c r="E44" s="82">
        <v>36500</v>
      </c>
      <c r="F44" s="82">
        <v>36500</v>
      </c>
      <c r="G44" s="82"/>
      <c r="H44" s="82"/>
      <c r="I44" s="82"/>
      <c r="J44" s="82"/>
      <c r="K44" s="82">
        <v>0</v>
      </c>
      <c r="L44" s="82"/>
      <c r="M44" s="82"/>
      <c r="N44" s="82">
        <v>42207.682212</v>
      </c>
      <c r="O44" s="82">
        <v>12760.353800000001</v>
      </c>
      <c r="P44" s="83">
        <v>29447.328411999999</v>
      </c>
      <c r="Q44" s="82">
        <v>29447.328411999999</v>
      </c>
      <c r="R44" s="82"/>
      <c r="S44" s="82"/>
      <c r="T44" s="82"/>
      <c r="U44" s="82">
        <v>0</v>
      </c>
      <c r="V44" s="82"/>
      <c r="W44" s="82"/>
      <c r="X44" s="82"/>
      <c r="Y44" s="82"/>
      <c r="Z44" s="82"/>
      <c r="AA44" s="82"/>
      <c r="AB44" s="84">
        <f t="shared" si="2"/>
        <v>115.63748551232877</v>
      </c>
      <c r="AC44" s="84"/>
      <c r="AD44" s="84">
        <f t="shared" si="1"/>
        <v>80.677612087671235</v>
      </c>
      <c r="AE44" s="84"/>
    </row>
    <row r="45" spans="1:31" s="16" customFormat="1" ht="33.75" customHeight="1" collapsed="1" x14ac:dyDescent="0.25">
      <c r="A45" s="80" t="s">
        <v>315</v>
      </c>
      <c r="B45" s="87" t="s">
        <v>602</v>
      </c>
      <c r="C45" s="82">
        <v>3332</v>
      </c>
      <c r="D45" s="82"/>
      <c r="E45" s="82">
        <v>3332</v>
      </c>
      <c r="F45" s="82">
        <v>3287</v>
      </c>
      <c r="G45" s="82"/>
      <c r="H45" s="82">
        <v>45</v>
      </c>
      <c r="I45" s="82"/>
      <c r="J45" s="82"/>
      <c r="K45" s="82">
        <v>0</v>
      </c>
      <c r="L45" s="82"/>
      <c r="M45" s="82"/>
      <c r="N45" s="82">
        <v>3214.623908</v>
      </c>
      <c r="O45" s="82"/>
      <c r="P45" s="83">
        <v>3214.623908</v>
      </c>
      <c r="Q45" s="82">
        <v>3214.623908</v>
      </c>
      <c r="R45" s="82"/>
      <c r="S45" s="82"/>
      <c r="T45" s="82"/>
      <c r="U45" s="82">
        <v>0</v>
      </c>
      <c r="V45" s="82"/>
      <c r="W45" s="82"/>
      <c r="X45" s="82"/>
      <c r="Y45" s="82"/>
      <c r="Z45" s="82"/>
      <c r="AA45" s="82"/>
      <c r="AB45" s="84">
        <f t="shared" si="2"/>
        <v>96.477308163265306</v>
      </c>
      <c r="AC45" s="84"/>
      <c r="AD45" s="84">
        <f t="shared" si="1"/>
        <v>96.477308163265306</v>
      </c>
      <c r="AE45" s="84"/>
    </row>
    <row r="46" spans="1:31" s="16" customFormat="1" ht="24.75" customHeight="1" x14ac:dyDescent="0.25">
      <c r="A46" s="85" t="s">
        <v>316</v>
      </c>
      <c r="B46" s="87" t="s">
        <v>603</v>
      </c>
      <c r="C46" s="82">
        <v>4042</v>
      </c>
      <c r="D46" s="82"/>
      <c r="E46" s="82">
        <v>4042</v>
      </c>
      <c r="F46" s="82">
        <v>4042</v>
      </c>
      <c r="G46" s="82"/>
      <c r="H46" s="82"/>
      <c r="I46" s="82"/>
      <c r="J46" s="82"/>
      <c r="K46" s="82">
        <v>0</v>
      </c>
      <c r="L46" s="82"/>
      <c r="M46" s="82"/>
      <c r="N46" s="82">
        <v>5813.272379</v>
      </c>
      <c r="O46" s="82"/>
      <c r="P46" s="83">
        <v>5688.0356490000004</v>
      </c>
      <c r="Q46" s="82">
        <v>4688.0356490000004</v>
      </c>
      <c r="R46" s="82">
        <v>1000</v>
      </c>
      <c r="S46" s="82"/>
      <c r="T46" s="82"/>
      <c r="U46" s="82">
        <v>125.23672999999999</v>
      </c>
      <c r="V46" s="82"/>
      <c r="W46" s="82">
        <v>125.23672999999999</v>
      </c>
      <c r="X46" s="82"/>
      <c r="Y46" s="82"/>
      <c r="Z46" s="82"/>
      <c r="AA46" s="82"/>
      <c r="AB46" s="84">
        <f t="shared" si="2"/>
        <v>143.82168181593269</v>
      </c>
      <c r="AC46" s="84"/>
      <c r="AD46" s="84">
        <f t="shared" si="1"/>
        <v>140.72329661058882</v>
      </c>
      <c r="AE46" s="84"/>
    </row>
    <row r="47" spans="1:31" s="16" customFormat="1" ht="39" customHeight="1" x14ac:dyDescent="0.25">
      <c r="A47" s="80" t="s">
        <v>318</v>
      </c>
      <c r="B47" s="87" t="s">
        <v>310</v>
      </c>
      <c r="C47" s="82">
        <v>7612</v>
      </c>
      <c r="D47" s="82"/>
      <c r="E47" s="82">
        <v>7612</v>
      </c>
      <c r="F47" s="82">
        <v>7562</v>
      </c>
      <c r="G47" s="82"/>
      <c r="H47" s="82">
        <v>50</v>
      </c>
      <c r="I47" s="82"/>
      <c r="J47" s="82"/>
      <c r="K47" s="82">
        <v>0</v>
      </c>
      <c r="L47" s="82"/>
      <c r="M47" s="82"/>
      <c r="N47" s="82">
        <v>7250.1616190000004</v>
      </c>
      <c r="O47" s="82"/>
      <c r="P47" s="83">
        <v>7245.5626190000003</v>
      </c>
      <c r="Q47" s="82">
        <v>7245.5626190000003</v>
      </c>
      <c r="R47" s="82"/>
      <c r="S47" s="82"/>
      <c r="T47" s="82"/>
      <c r="U47" s="82">
        <v>4.5990000000000002</v>
      </c>
      <c r="V47" s="82"/>
      <c r="W47" s="82">
        <v>4.5990000000000002</v>
      </c>
      <c r="X47" s="82"/>
      <c r="Y47" s="82"/>
      <c r="Z47" s="82"/>
      <c r="AA47" s="82"/>
      <c r="AB47" s="84">
        <f t="shared" si="2"/>
        <v>95.246474238045195</v>
      </c>
      <c r="AC47" s="84"/>
      <c r="AD47" s="84">
        <f t="shared" si="1"/>
        <v>95.186056476615875</v>
      </c>
      <c r="AE47" s="84"/>
    </row>
    <row r="48" spans="1:31" s="16" customFormat="1" ht="24.75" customHeight="1" x14ac:dyDescent="0.25">
      <c r="A48" s="85" t="s">
        <v>320</v>
      </c>
      <c r="B48" s="87" t="s">
        <v>604</v>
      </c>
      <c r="C48" s="82">
        <v>5914</v>
      </c>
      <c r="D48" s="82"/>
      <c r="E48" s="82">
        <v>5914</v>
      </c>
      <c r="F48" s="82">
        <v>5765</v>
      </c>
      <c r="G48" s="82"/>
      <c r="H48" s="82">
        <v>149</v>
      </c>
      <c r="I48" s="82"/>
      <c r="J48" s="82"/>
      <c r="K48" s="82">
        <v>0</v>
      </c>
      <c r="L48" s="82"/>
      <c r="M48" s="82"/>
      <c r="N48" s="82">
        <v>7522.8429139999998</v>
      </c>
      <c r="O48" s="82"/>
      <c r="P48" s="83">
        <v>6663.8771239999996</v>
      </c>
      <c r="Q48" s="82">
        <v>6663.8771239999996</v>
      </c>
      <c r="R48" s="82"/>
      <c r="S48" s="82"/>
      <c r="T48" s="82"/>
      <c r="U48" s="82">
        <v>858.96578999999997</v>
      </c>
      <c r="V48" s="82"/>
      <c r="W48" s="82">
        <v>858.96578999999997</v>
      </c>
      <c r="X48" s="82"/>
      <c r="Y48" s="82"/>
      <c r="Z48" s="82"/>
      <c r="AA48" s="82"/>
      <c r="AB48" s="84">
        <f t="shared" si="2"/>
        <v>127.20397216773756</v>
      </c>
      <c r="AC48" s="84"/>
      <c r="AD48" s="84">
        <f t="shared" si="1"/>
        <v>112.67969435238416</v>
      </c>
      <c r="AE48" s="84"/>
    </row>
    <row r="49" spans="1:31" s="16" customFormat="1" ht="24.75" customHeight="1" x14ac:dyDescent="0.25">
      <c r="A49" s="80" t="s">
        <v>322</v>
      </c>
      <c r="B49" s="87" t="s">
        <v>605</v>
      </c>
      <c r="C49" s="82">
        <v>492575.88700000005</v>
      </c>
      <c r="D49" s="82">
        <v>492575.88700000005</v>
      </c>
      <c r="E49" s="82">
        <v>0</v>
      </c>
      <c r="F49" s="82"/>
      <c r="G49" s="82"/>
      <c r="H49" s="82"/>
      <c r="I49" s="82"/>
      <c r="J49" s="82"/>
      <c r="K49" s="82">
        <v>0</v>
      </c>
      <c r="L49" s="82"/>
      <c r="M49" s="82"/>
      <c r="N49" s="82">
        <v>324481.44740300003</v>
      </c>
      <c r="O49" s="82">
        <v>324481.44740300003</v>
      </c>
      <c r="P49" s="83">
        <v>0</v>
      </c>
      <c r="Q49" s="82"/>
      <c r="R49" s="82"/>
      <c r="S49" s="82"/>
      <c r="T49" s="82"/>
      <c r="U49" s="82">
        <v>0</v>
      </c>
      <c r="V49" s="82"/>
      <c r="W49" s="82"/>
      <c r="X49" s="82"/>
      <c r="Y49" s="82"/>
      <c r="Z49" s="82"/>
      <c r="AA49" s="82"/>
      <c r="AB49" s="84">
        <f t="shared" si="2"/>
        <v>65.874407571842838</v>
      </c>
      <c r="AC49" s="84"/>
      <c r="AD49" s="84"/>
      <c r="AE49" s="84"/>
    </row>
    <row r="50" spans="1:31" s="16" customFormat="1" ht="34.5" customHeight="1" x14ac:dyDescent="0.25">
      <c r="A50" s="85" t="s">
        <v>324</v>
      </c>
      <c r="B50" s="87" t="s">
        <v>350</v>
      </c>
      <c r="C50" s="82">
        <v>11200</v>
      </c>
      <c r="D50" s="82">
        <v>11200</v>
      </c>
      <c r="E50" s="82">
        <v>0</v>
      </c>
      <c r="F50" s="82"/>
      <c r="G50" s="82"/>
      <c r="H50" s="82"/>
      <c r="I50" s="82"/>
      <c r="J50" s="82"/>
      <c r="K50" s="82">
        <v>0</v>
      </c>
      <c r="L50" s="82"/>
      <c r="M50" s="82"/>
      <c r="N50" s="82">
        <v>0</v>
      </c>
      <c r="O50" s="82"/>
      <c r="P50" s="83">
        <v>0</v>
      </c>
      <c r="Q50" s="82"/>
      <c r="R50" s="82"/>
      <c r="S50" s="82"/>
      <c r="T50" s="82"/>
      <c r="U50" s="82">
        <v>0</v>
      </c>
      <c r="V50" s="82"/>
      <c r="W50" s="82"/>
      <c r="X50" s="82"/>
      <c r="Y50" s="82"/>
      <c r="Z50" s="82"/>
      <c r="AA50" s="82"/>
      <c r="AB50" s="84">
        <f t="shared" si="2"/>
        <v>0</v>
      </c>
      <c r="AC50" s="84"/>
      <c r="AD50" s="84"/>
      <c r="AE50" s="84"/>
    </row>
    <row r="51" spans="1:31" s="16" customFormat="1" ht="24.75" customHeight="1" x14ac:dyDescent="0.25">
      <c r="A51" s="80" t="s">
        <v>326</v>
      </c>
      <c r="B51" s="87" t="s">
        <v>606</v>
      </c>
      <c r="C51" s="82">
        <v>8450</v>
      </c>
      <c r="D51" s="82">
        <v>8450</v>
      </c>
      <c r="E51" s="82">
        <v>0</v>
      </c>
      <c r="F51" s="82"/>
      <c r="G51" s="82"/>
      <c r="H51" s="82"/>
      <c r="I51" s="82"/>
      <c r="J51" s="82"/>
      <c r="K51" s="82">
        <v>0</v>
      </c>
      <c r="L51" s="82"/>
      <c r="M51" s="82"/>
      <c r="N51" s="82">
        <v>6149.8250909999997</v>
      </c>
      <c r="O51" s="82">
        <v>6149.8250909999997</v>
      </c>
      <c r="P51" s="83">
        <v>0</v>
      </c>
      <c r="Q51" s="82"/>
      <c r="R51" s="82"/>
      <c r="S51" s="82"/>
      <c r="T51" s="82"/>
      <c r="U51" s="82">
        <v>0</v>
      </c>
      <c r="V51" s="82"/>
      <c r="W51" s="82"/>
      <c r="X51" s="82"/>
      <c r="Y51" s="82"/>
      <c r="Z51" s="82"/>
      <c r="AA51" s="82"/>
      <c r="AB51" s="84">
        <f t="shared" si="2"/>
        <v>72.778995159763312</v>
      </c>
      <c r="AC51" s="84"/>
      <c r="AD51" s="84"/>
      <c r="AE51" s="84"/>
    </row>
    <row r="52" spans="1:31" s="16" customFormat="1" ht="39.75" customHeight="1" x14ac:dyDescent="0.25">
      <c r="A52" s="85" t="s">
        <v>328</v>
      </c>
      <c r="B52" s="87" t="s">
        <v>607</v>
      </c>
      <c r="C52" s="82">
        <v>70478</v>
      </c>
      <c r="D52" s="82">
        <v>70478</v>
      </c>
      <c r="E52" s="82">
        <v>0</v>
      </c>
      <c r="F52" s="82"/>
      <c r="G52" s="82"/>
      <c r="H52" s="82"/>
      <c r="I52" s="82"/>
      <c r="J52" s="82"/>
      <c r="K52" s="82">
        <v>0</v>
      </c>
      <c r="L52" s="82"/>
      <c r="M52" s="82"/>
      <c r="N52" s="82">
        <v>122410.005209</v>
      </c>
      <c r="O52" s="82">
        <v>122410.005209</v>
      </c>
      <c r="P52" s="83">
        <v>0</v>
      </c>
      <c r="Q52" s="82"/>
      <c r="R52" s="82"/>
      <c r="S52" s="82"/>
      <c r="T52" s="82"/>
      <c r="U52" s="82">
        <v>0</v>
      </c>
      <c r="V52" s="82"/>
      <c r="W52" s="82"/>
      <c r="X52" s="82"/>
      <c r="Y52" s="82"/>
      <c r="Z52" s="82"/>
      <c r="AA52" s="82"/>
      <c r="AB52" s="84">
        <f t="shared" si="2"/>
        <v>173.68541276568575</v>
      </c>
      <c r="AC52" s="84"/>
      <c r="AD52" s="84"/>
      <c r="AE52" s="84"/>
    </row>
    <row r="53" spans="1:31" s="16" customFormat="1" ht="24.75" customHeight="1" x14ac:dyDescent="0.25">
      <c r="A53" s="80" t="s">
        <v>330</v>
      </c>
      <c r="B53" s="293" t="s">
        <v>608</v>
      </c>
      <c r="C53" s="82">
        <v>53894</v>
      </c>
      <c r="D53" s="82">
        <v>53894</v>
      </c>
      <c r="E53" s="82">
        <v>0</v>
      </c>
      <c r="F53" s="82"/>
      <c r="G53" s="82"/>
      <c r="H53" s="82"/>
      <c r="I53" s="82"/>
      <c r="J53" s="82"/>
      <c r="K53" s="82">
        <v>0</v>
      </c>
      <c r="L53" s="82"/>
      <c r="M53" s="82"/>
      <c r="N53" s="82">
        <v>44660.169113999997</v>
      </c>
      <c r="O53" s="82">
        <v>44660.169113999997</v>
      </c>
      <c r="P53" s="83">
        <v>0</v>
      </c>
      <c r="Q53" s="82"/>
      <c r="R53" s="82"/>
      <c r="S53" s="82"/>
      <c r="T53" s="82"/>
      <c r="U53" s="82">
        <v>0</v>
      </c>
      <c r="V53" s="82"/>
      <c r="W53" s="82"/>
      <c r="X53" s="82"/>
      <c r="Y53" s="82"/>
      <c r="Z53" s="82"/>
      <c r="AA53" s="82"/>
      <c r="AB53" s="84">
        <f t="shared" si="2"/>
        <v>82.866681103647892</v>
      </c>
      <c r="AC53" s="84"/>
      <c r="AD53" s="84"/>
      <c r="AE53" s="84"/>
    </row>
    <row r="54" spans="1:31" s="16" customFormat="1" ht="24.75" customHeight="1" x14ac:dyDescent="0.25">
      <c r="A54" s="85" t="s">
        <v>332</v>
      </c>
      <c r="B54" s="293" t="s">
        <v>609</v>
      </c>
      <c r="C54" s="82">
        <v>10850</v>
      </c>
      <c r="D54" s="82">
        <v>10850</v>
      </c>
      <c r="E54" s="82">
        <v>0</v>
      </c>
      <c r="F54" s="82"/>
      <c r="G54" s="82"/>
      <c r="H54" s="82"/>
      <c r="I54" s="82"/>
      <c r="J54" s="82"/>
      <c r="K54" s="82">
        <v>0</v>
      </c>
      <c r="L54" s="82"/>
      <c r="M54" s="82"/>
      <c r="N54" s="82">
        <v>13516.423999999999</v>
      </c>
      <c r="O54" s="82">
        <v>13516.423999999999</v>
      </c>
      <c r="P54" s="83">
        <v>0</v>
      </c>
      <c r="Q54" s="82"/>
      <c r="R54" s="82"/>
      <c r="S54" s="82"/>
      <c r="T54" s="82"/>
      <c r="U54" s="82">
        <v>0</v>
      </c>
      <c r="V54" s="82"/>
      <c r="W54" s="82"/>
      <c r="X54" s="82"/>
      <c r="Y54" s="82"/>
      <c r="Z54" s="82"/>
      <c r="AA54" s="82"/>
      <c r="AB54" s="84">
        <f t="shared" si="2"/>
        <v>124.57533640552994</v>
      </c>
      <c r="AC54" s="84"/>
      <c r="AD54" s="84"/>
      <c r="AE54" s="84"/>
    </row>
    <row r="55" spans="1:31" s="16" customFormat="1" ht="24.75" customHeight="1" x14ac:dyDescent="0.25">
      <c r="A55" s="80" t="s">
        <v>334</v>
      </c>
      <c r="B55" s="87" t="s">
        <v>610</v>
      </c>
      <c r="C55" s="82">
        <v>21579</v>
      </c>
      <c r="D55" s="82"/>
      <c r="E55" s="82">
        <v>21579</v>
      </c>
      <c r="F55" s="82">
        <v>12479</v>
      </c>
      <c r="G55" s="82"/>
      <c r="H55" s="82">
        <v>9100</v>
      </c>
      <c r="I55" s="82"/>
      <c r="J55" s="82"/>
      <c r="K55" s="82">
        <v>0</v>
      </c>
      <c r="L55" s="82"/>
      <c r="M55" s="82"/>
      <c r="N55" s="82">
        <v>31266</v>
      </c>
      <c r="O55" s="82"/>
      <c r="P55" s="83">
        <v>30816</v>
      </c>
      <c r="Q55" s="82">
        <v>30816</v>
      </c>
      <c r="R55" s="82"/>
      <c r="S55" s="82"/>
      <c r="T55" s="82"/>
      <c r="U55" s="82">
        <v>450</v>
      </c>
      <c r="V55" s="82"/>
      <c r="W55" s="82">
        <v>450</v>
      </c>
      <c r="X55" s="82"/>
      <c r="Y55" s="82"/>
      <c r="Z55" s="82"/>
      <c r="AA55" s="82"/>
      <c r="AB55" s="84">
        <f t="shared" si="2"/>
        <v>144.89086611983873</v>
      </c>
      <c r="AC55" s="84"/>
      <c r="AD55" s="84">
        <f t="shared" si="1"/>
        <v>142.80550535242597</v>
      </c>
      <c r="AE55" s="84"/>
    </row>
    <row r="56" spans="1:31" s="16" customFormat="1" ht="29.25" customHeight="1" x14ac:dyDescent="0.25">
      <c r="A56" s="85" t="s">
        <v>336</v>
      </c>
      <c r="B56" s="87" t="s">
        <v>611</v>
      </c>
      <c r="C56" s="82">
        <v>103594</v>
      </c>
      <c r="D56" s="82">
        <v>32412</v>
      </c>
      <c r="E56" s="82">
        <v>71182</v>
      </c>
      <c r="F56" s="82">
        <v>68097</v>
      </c>
      <c r="G56" s="82"/>
      <c r="H56" s="82">
        <v>3085</v>
      </c>
      <c r="I56" s="82"/>
      <c r="J56" s="82"/>
      <c r="K56" s="82">
        <v>0</v>
      </c>
      <c r="L56" s="82"/>
      <c r="M56" s="82"/>
      <c r="N56" s="82">
        <v>144576.50645700001</v>
      </c>
      <c r="O56" s="82">
        <v>54296.990675000001</v>
      </c>
      <c r="P56" s="83">
        <v>90271.515782000002</v>
      </c>
      <c r="Q56" s="82">
        <v>90271.515782000002</v>
      </c>
      <c r="R56" s="82"/>
      <c r="S56" s="82"/>
      <c r="T56" s="82"/>
      <c r="U56" s="82">
        <v>8</v>
      </c>
      <c r="V56" s="82"/>
      <c r="W56" s="82">
        <v>8</v>
      </c>
      <c r="X56" s="82"/>
      <c r="Y56" s="82"/>
      <c r="Z56" s="82"/>
      <c r="AA56" s="82"/>
      <c r="AB56" s="84">
        <f t="shared" si="2"/>
        <v>139.56069507596965</v>
      </c>
      <c r="AC56" s="84"/>
      <c r="AD56" s="84">
        <f t="shared" si="1"/>
        <v>126.81789747689022</v>
      </c>
      <c r="AE56" s="84"/>
    </row>
    <row r="57" spans="1:31" s="16" customFormat="1" ht="32.25" customHeight="1" x14ac:dyDescent="0.25">
      <c r="A57" s="80" t="s">
        <v>334</v>
      </c>
      <c r="B57" s="87" t="s">
        <v>612</v>
      </c>
      <c r="C57" s="82">
        <v>0</v>
      </c>
      <c r="D57" s="82"/>
      <c r="E57" s="82">
        <v>0</v>
      </c>
      <c r="F57" s="82"/>
      <c r="G57" s="82"/>
      <c r="H57" s="82"/>
      <c r="I57" s="82"/>
      <c r="J57" s="82"/>
      <c r="K57" s="82">
        <v>0</v>
      </c>
      <c r="L57" s="82"/>
      <c r="M57" s="82"/>
      <c r="N57" s="82">
        <v>17902</v>
      </c>
      <c r="O57" s="82">
        <v>17902</v>
      </c>
      <c r="P57" s="83">
        <v>0</v>
      </c>
      <c r="Q57" s="82"/>
      <c r="R57" s="82"/>
      <c r="S57" s="82"/>
      <c r="T57" s="82"/>
      <c r="U57" s="82">
        <v>0</v>
      </c>
      <c r="V57" s="82"/>
      <c r="W57" s="82"/>
      <c r="X57" s="82"/>
      <c r="Y57" s="82"/>
      <c r="Z57" s="82"/>
      <c r="AA57" s="82"/>
      <c r="AB57" s="84"/>
      <c r="AC57" s="84"/>
      <c r="AD57" s="84"/>
      <c r="AE57" s="84"/>
    </row>
    <row r="58" spans="1:31" s="16" customFormat="1" ht="24.75" customHeight="1" x14ac:dyDescent="0.25">
      <c r="A58" s="85" t="s">
        <v>336</v>
      </c>
      <c r="B58" s="81" t="s">
        <v>526</v>
      </c>
      <c r="C58" s="82">
        <v>562</v>
      </c>
      <c r="D58" s="82"/>
      <c r="E58" s="82">
        <v>562</v>
      </c>
      <c r="F58" s="82">
        <v>562</v>
      </c>
      <c r="G58" s="82"/>
      <c r="H58" s="82"/>
      <c r="I58" s="82"/>
      <c r="J58" s="82"/>
      <c r="K58" s="82">
        <v>0</v>
      </c>
      <c r="L58" s="82"/>
      <c r="M58" s="82"/>
      <c r="N58" s="82">
        <v>536</v>
      </c>
      <c r="O58" s="82"/>
      <c r="P58" s="83">
        <v>536</v>
      </c>
      <c r="Q58" s="82">
        <v>536</v>
      </c>
      <c r="R58" s="82"/>
      <c r="S58" s="82"/>
      <c r="T58" s="82"/>
      <c r="U58" s="82">
        <v>0</v>
      </c>
      <c r="V58" s="82"/>
      <c r="W58" s="82"/>
      <c r="X58" s="82"/>
      <c r="Y58" s="82"/>
      <c r="Z58" s="82"/>
      <c r="AA58" s="82"/>
      <c r="AB58" s="84">
        <f t="shared" si="2"/>
        <v>95.37366548042705</v>
      </c>
      <c r="AC58" s="84"/>
      <c r="AD58" s="84">
        <f t="shared" si="1"/>
        <v>95.37366548042705</v>
      </c>
      <c r="AE58" s="84"/>
    </row>
    <row r="59" spans="1:31" s="135" customFormat="1" ht="24.75" customHeight="1" x14ac:dyDescent="0.25">
      <c r="A59" s="80" t="s">
        <v>338</v>
      </c>
      <c r="B59" s="81" t="s">
        <v>613</v>
      </c>
      <c r="C59" s="82">
        <v>436</v>
      </c>
      <c r="D59" s="82"/>
      <c r="E59" s="82">
        <v>436</v>
      </c>
      <c r="F59" s="82">
        <v>436</v>
      </c>
      <c r="G59" s="82"/>
      <c r="H59" s="82"/>
      <c r="I59" s="82"/>
      <c r="J59" s="82"/>
      <c r="K59" s="82">
        <v>0</v>
      </c>
      <c r="L59" s="82"/>
      <c r="M59" s="82"/>
      <c r="N59" s="82">
        <v>431</v>
      </c>
      <c r="O59" s="82"/>
      <c r="P59" s="83">
        <v>431</v>
      </c>
      <c r="Q59" s="82">
        <v>431</v>
      </c>
      <c r="R59" s="82"/>
      <c r="S59" s="82"/>
      <c r="T59" s="82"/>
      <c r="U59" s="82">
        <v>0</v>
      </c>
      <c r="V59" s="82"/>
      <c r="W59" s="82"/>
      <c r="X59" s="82"/>
      <c r="Y59" s="82"/>
      <c r="Z59" s="82"/>
      <c r="AA59" s="82"/>
      <c r="AB59" s="84">
        <f t="shared" si="2"/>
        <v>98.853211009174302</v>
      </c>
      <c r="AC59" s="84"/>
      <c r="AD59" s="84">
        <f t="shared" si="1"/>
        <v>98.853211009174302</v>
      </c>
      <c r="AE59" s="84"/>
    </row>
    <row r="60" spans="1:31" s="16" customFormat="1" ht="32.25" customHeight="1" x14ac:dyDescent="0.25">
      <c r="A60" s="85" t="s">
        <v>389</v>
      </c>
      <c r="B60" s="87" t="s">
        <v>614</v>
      </c>
      <c r="C60" s="82">
        <v>420</v>
      </c>
      <c r="D60" s="82"/>
      <c r="E60" s="82">
        <v>420</v>
      </c>
      <c r="F60" s="82">
        <v>420</v>
      </c>
      <c r="G60" s="82"/>
      <c r="H60" s="82"/>
      <c r="I60" s="82"/>
      <c r="J60" s="82"/>
      <c r="K60" s="82">
        <v>0</v>
      </c>
      <c r="L60" s="82"/>
      <c r="M60" s="82"/>
      <c r="N60" s="82">
        <v>410</v>
      </c>
      <c r="O60" s="82"/>
      <c r="P60" s="83">
        <v>410</v>
      </c>
      <c r="Q60" s="82">
        <v>410</v>
      </c>
      <c r="R60" s="82"/>
      <c r="S60" s="82"/>
      <c r="T60" s="82"/>
      <c r="U60" s="82">
        <v>0</v>
      </c>
      <c r="V60" s="82"/>
      <c r="W60" s="82"/>
      <c r="X60" s="82"/>
      <c r="Y60" s="82"/>
      <c r="Z60" s="82"/>
      <c r="AA60" s="82"/>
      <c r="AB60" s="84">
        <f t="shared" si="2"/>
        <v>97.61904761904762</v>
      </c>
      <c r="AC60" s="84"/>
      <c r="AD60" s="84">
        <f t="shared" si="1"/>
        <v>97.61904761904762</v>
      </c>
      <c r="AE60" s="84"/>
    </row>
    <row r="61" spans="1:31" s="16" customFormat="1" ht="24.75" customHeight="1" x14ac:dyDescent="0.25">
      <c r="A61" s="80" t="s">
        <v>390</v>
      </c>
      <c r="B61" s="87" t="s">
        <v>321</v>
      </c>
      <c r="C61" s="82">
        <v>412</v>
      </c>
      <c r="D61" s="82"/>
      <c r="E61" s="82">
        <v>412</v>
      </c>
      <c r="F61" s="82">
        <v>412</v>
      </c>
      <c r="G61" s="82"/>
      <c r="H61" s="82"/>
      <c r="I61" s="82"/>
      <c r="J61" s="82"/>
      <c r="K61" s="82">
        <v>0</v>
      </c>
      <c r="L61" s="82"/>
      <c r="M61" s="82"/>
      <c r="N61" s="82">
        <v>402</v>
      </c>
      <c r="O61" s="82"/>
      <c r="P61" s="83">
        <v>402</v>
      </c>
      <c r="Q61" s="82">
        <v>402</v>
      </c>
      <c r="R61" s="82"/>
      <c r="S61" s="82"/>
      <c r="T61" s="82"/>
      <c r="U61" s="82">
        <v>0</v>
      </c>
      <c r="V61" s="82"/>
      <c r="W61" s="82"/>
      <c r="X61" s="82"/>
      <c r="Y61" s="82"/>
      <c r="Z61" s="82"/>
      <c r="AA61" s="82"/>
      <c r="AB61" s="84">
        <f t="shared" si="2"/>
        <v>97.572815533980574</v>
      </c>
      <c r="AC61" s="84"/>
      <c r="AD61" s="84">
        <f t="shared" si="1"/>
        <v>97.572815533980574</v>
      </c>
      <c r="AE61" s="84"/>
    </row>
    <row r="62" spans="1:31" s="16" customFormat="1" ht="24.75" customHeight="1" x14ac:dyDescent="0.25">
      <c r="A62" s="85" t="s">
        <v>549</v>
      </c>
      <c r="B62" s="87" t="s">
        <v>323</v>
      </c>
      <c r="C62" s="82">
        <v>90</v>
      </c>
      <c r="D62" s="82"/>
      <c r="E62" s="82">
        <v>90</v>
      </c>
      <c r="F62" s="82">
        <v>90</v>
      </c>
      <c r="G62" s="82"/>
      <c r="H62" s="82"/>
      <c r="I62" s="82"/>
      <c r="J62" s="82"/>
      <c r="K62" s="82">
        <v>0</v>
      </c>
      <c r="L62" s="82"/>
      <c r="M62" s="82"/>
      <c r="N62" s="82">
        <v>81</v>
      </c>
      <c r="O62" s="82"/>
      <c r="P62" s="83">
        <v>81</v>
      </c>
      <c r="Q62" s="82">
        <v>81</v>
      </c>
      <c r="R62" s="82"/>
      <c r="S62" s="82"/>
      <c r="T62" s="82"/>
      <c r="U62" s="82">
        <v>0</v>
      </c>
      <c r="V62" s="82"/>
      <c r="W62" s="82"/>
      <c r="X62" s="82"/>
      <c r="Y62" s="82"/>
      <c r="Z62" s="82"/>
      <c r="AA62" s="82"/>
      <c r="AB62" s="84">
        <f t="shared" si="2"/>
        <v>90</v>
      </c>
      <c r="AC62" s="84"/>
      <c r="AD62" s="84">
        <f t="shared" si="1"/>
        <v>90</v>
      </c>
      <c r="AE62" s="84"/>
    </row>
    <row r="63" spans="1:31" s="16" customFormat="1" ht="24.75" customHeight="1" x14ac:dyDescent="0.25">
      <c r="A63" s="80" t="s">
        <v>391</v>
      </c>
      <c r="B63" s="90" t="s">
        <v>325</v>
      </c>
      <c r="C63" s="82">
        <v>1034</v>
      </c>
      <c r="D63" s="82"/>
      <c r="E63" s="82">
        <v>1034</v>
      </c>
      <c r="F63" s="82">
        <v>1034</v>
      </c>
      <c r="G63" s="82"/>
      <c r="H63" s="82"/>
      <c r="I63" s="82"/>
      <c r="J63" s="82"/>
      <c r="K63" s="82">
        <v>0</v>
      </c>
      <c r="L63" s="82"/>
      <c r="M63" s="82"/>
      <c r="N63" s="82">
        <v>1236.5</v>
      </c>
      <c r="O63" s="82"/>
      <c r="P63" s="83">
        <v>1236.5</v>
      </c>
      <c r="Q63" s="82">
        <v>1236.5</v>
      </c>
      <c r="R63" s="82"/>
      <c r="S63" s="82"/>
      <c r="T63" s="82"/>
      <c r="U63" s="82">
        <v>0</v>
      </c>
      <c r="V63" s="82"/>
      <c r="W63" s="82"/>
      <c r="X63" s="82"/>
      <c r="Y63" s="82"/>
      <c r="Z63" s="82"/>
      <c r="AA63" s="82"/>
      <c r="AB63" s="84">
        <f t="shared" si="2"/>
        <v>119.58413926499033</v>
      </c>
      <c r="AC63" s="84"/>
      <c r="AD63" s="84">
        <f t="shared" si="1"/>
        <v>119.58413926499033</v>
      </c>
      <c r="AE63" s="84"/>
    </row>
    <row r="64" spans="1:31" s="16" customFormat="1" ht="24.75" customHeight="1" x14ac:dyDescent="0.25">
      <c r="A64" s="85" t="s">
        <v>392</v>
      </c>
      <c r="B64" s="90" t="s">
        <v>615</v>
      </c>
      <c r="C64" s="82">
        <v>2305</v>
      </c>
      <c r="D64" s="82"/>
      <c r="E64" s="82">
        <v>2305</v>
      </c>
      <c r="F64" s="82">
        <v>2305</v>
      </c>
      <c r="G64" s="82"/>
      <c r="H64" s="82"/>
      <c r="I64" s="82"/>
      <c r="J64" s="82"/>
      <c r="K64" s="82">
        <v>0</v>
      </c>
      <c r="L64" s="82"/>
      <c r="M64" s="82"/>
      <c r="N64" s="82">
        <v>2115</v>
      </c>
      <c r="O64" s="82"/>
      <c r="P64" s="83">
        <v>2115</v>
      </c>
      <c r="Q64" s="82">
        <v>2115</v>
      </c>
      <c r="R64" s="82"/>
      <c r="S64" s="82"/>
      <c r="T64" s="82"/>
      <c r="U64" s="82">
        <v>0</v>
      </c>
      <c r="V64" s="82"/>
      <c r="W64" s="82"/>
      <c r="X64" s="82"/>
      <c r="Y64" s="82"/>
      <c r="Z64" s="82"/>
      <c r="AA64" s="82"/>
      <c r="AB64" s="84">
        <f t="shared" si="2"/>
        <v>91.75704989154012</v>
      </c>
      <c r="AC64" s="84"/>
      <c r="AD64" s="84">
        <f t="shared" si="1"/>
        <v>91.75704989154012</v>
      </c>
      <c r="AE64" s="84"/>
    </row>
    <row r="65" spans="1:31" s="16" customFormat="1" ht="38.25" customHeight="1" x14ac:dyDescent="0.25">
      <c r="A65" s="80" t="s">
        <v>393</v>
      </c>
      <c r="B65" s="90" t="s">
        <v>329</v>
      </c>
      <c r="C65" s="82">
        <v>322</v>
      </c>
      <c r="D65" s="82"/>
      <c r="E65" s="82">
        <v>322</v>
      </c>
      <c r="F65" s="82">
        <v>322</v>
      </c>
      <c r="G65" s="82"/>
      <c r="H65" s="82"/>
      <c r="I65" s="82"/>
      <c r="J65" s="82"/>
      <c r="K65" s="82">
        <v>0</v>
      </c>
      <c r="L65" s="82"/>
      <c r="M65" s="82"/>
      <c r="N65" s="82">
        <v>309</v>
      </c>
      <c r="O65" s="82"/>
      <c r="P65" s="83">
        <v>309</v>
      </c>
      <c r="Q65" s="82">
        <v>309</v>
      </c>
      <c r="R65" s="82"/>
      <c r="S65" s="82"/>
      <c r="T65" s="82"/>
      <c r="U65" s="82">
        <v>0</v>
      </c>
      <c r="V65" s="82"/>
      <c r="W65" s="82"/>
      <c r="X65" s="82"/>
      <c r="Y65" s="82"/>
      <c r="Z65" s="82"/>
      <c r="AA65" s="82"/>
      <c r="AB65" s="84">
        <f t="shared" si="2"/>
        <v>95.962732919254648</v>
      </c>
      <c r="AC65" s="84"/>
      <c r="AD65" s="84">
        <f t="shared" si="1"/>
        <v>95.962732919254648</v>
      </c>
      <c r="AE65" s="84"/>
    </row>
    <row r="66" spans="1:31" s="16" customFormat="1" ht="24.75" customHeight="1" x14ac:dyDescent="0.25">
      <c r="A66" s="85" t="s">
        <v>394</v>
      </c>
      <c r="B66" s="90" t="s">
        <v>331</v>
      </c>
      <c r="C66" s="82">
        <v>1116</v>
      </c>
      <c r="D66" s="82"/>
      <c r="E66" s="82">
        <v>1116</v>
      </c>
      <c r="F66" s="82">
        <v>1116</v>
      </c>
      <c r="G66" s="82"/>
      <c r="H66" s="82"/>
      <c r="I66" s="82"/>
      <c r="J66" s="82"/>
      <c r="K66" s="82">
        <v>0</v>
      </c>
      <c r="L66" s="82"/>
      <c r="M66" s="82"/>
      <c r="N66" s="82">
        <v>1435.8530940000001</v>
      </c>
      <c r="O66" s="82"/>
      <c r="P66" s="83">
        <v>1435.8530940000001</v>
      </c>
      <c r="Q66" s="82">
        <v>1435.8530940000001</v>
      </c>
      <c r="R66" s="82"/>
      <c r="S66" s="82"/>
      <c r="T66" s="82"/>
      <c r="U66" s="82">
        <v>0</v>
      </c>
      <c r="V66" s="82"/>
      <c r="W66" s="82"/>
      <c r="X66" s="82"/>
      <c r="Y66" s="82"/>
      <c r="Z66" s="82"/>
      <c r="AA66" s="82"/>
      <c r="AB66" s="84">
        <f t="shared" si="2"/>
        <v>128.66067150537634</v>
      </c>
      <c r="AC66" s="84"/>
      <c r="AD66" s="84">
        <f t="shared" si="1"/>
        <v>128.66067150537634</v>
      </c>
      <c r="AE66" s="84"/>
    </row>
    <row r="67" spans="1:31" s="16" customFormat="1" ht="34.5" customHeight="1" x14ac:dyDescent="0.25">
      <c r="A67" s="80" t="s">
        <v>395</v>
      </c>
      <c r="B67" s="91" t="s">
        <v>616</v>
      </c>
      <c r="C67" s="82">
        <v>147</v>
      </c>
      <c r="D67" s="82"/>
      <c r="E67" s="82">
        <v>147</v>
      </c>
      <c r="F67" s="82">
        <v>147</v>
      </c>
      <c r="G67" s="82"/>
      <c r="H67" s="82"/>
      <c r="I67" s="82"/>
      <c r="J67" s="82"/>
      <c r="K67" s="82">
        <v>0</v>
      </c>
      <c r="L67" s="82"/>
      <c r="M67" s="82"/>
      <c r="N67" s="82">
        <v>73.015000000000001</v>
      </c>
      <c r="O67" s="82"/>
      <c r="P67" s="83">
        <v>73.015000000000001</v>
      </c>
      <c r="Q67" s="82">
        <v>73.015000000000001</v>
      </c>
      <c r="R67" s="82"/>
      <c r="S67" s="82"/>
      <c r="T67" s="82"/>
      <c r="U67" s="82">
        <v>0</v>
      </c>
      <c r="V67" s="82"/>
      <c r="W67" s="82"/>
      <c r="X67" s="82"/>
      <c r="Y67" s="82"/>
      <c r="Z67" s="82"/>
      <c r="AA67" s="82"/>
      <c r="AB67" s="84">
        <f t="shared" si="2"/>
        <v>49.670068027210888</v>
      </c>
      <c r="AC67" s="84"/>
      <c r="AD67" s="84">
        <f t="shared" si="1"/>
        <v>49.670068027210888</v>
      </c>
      <c r="AE67" s="84"/>
    </row>
    <row r="68" spans="1:31" s="16" customFormat="1" ht="24.75" customHeight="1" x14ac:dyDescent="0.25">
      <c r="A68" s="80" t="s">
        <v>397</v>
      </c>
      <c r="B68" s="91" t="s">
        <v>335</v>
      </c>
      <c r="C68" s="82">
        <v>43</v>
      </c>
      <c r="D68" s="82"/>
      <c r="E68" s="82">
        <v>43</v>
      </c>
      <c r="F68" s="82">
        <v>43</v>
      </c>
      <c r="G68" s="82"/>
      <c r="H68" s="82"/>
      <c r="I68" s="82"/>
      <c r="J68" s="82"/>
      <c r="K68" s="82">
        <v>0</v>
      </c>
      <c r="L68" s="82"/>
      <c r="M68" s="82"/>
      <c r="N68" s="82">
        <v>17.734999999999999</v>
      </c>
      <c r="O68" s="82"/>
      <c r="P68" s="83">
        <v>17.734999999999999</v>
      </c>
      <c r="Q68" s="82">
        <v>17.734999999999999</v>
      </c>
      <c r="R68" s="82"/>
      <c r="S68" s="82"/>
      <c r="T68" s="82"/>
      <c r="U68" s="82">
        <v>0</v>
      </c>
      <c r="V68" s="82"/>
      <c r="W68" s="82"/>
      <c r="X68" s="82"/>
      <c r="Y68" s="82"/>
      <c r="Z68" s="82"/>
      <c r="AA68" s="82"/>
      <c r="AB68" s="84">
        <f t="shared" si="2"/>
        <v>41.244186046511629</v>
      </c>
      <c r="AC68" s="84">
        <v>0</v>
      </c>
      <c r="AD68" s="84"/>
      <c r="AE68" s="84"/>
    </row>
    <row r="69" spans="1:31" s="16" customFormat="1" ht="24.75" customHeight="1" x14ac:dyDescent="0.25">
      <c r="A69" s="85" t="s">
        <v>398</v>
      </c>
      <c r="B69" s="92" t="s">
        <v>337</v>
      </c>
      <c r="C69" s="82">
        <v>343</v>
      </c>
      <c r="D69" s="82"/>
      <c r="E69" s="82">
        <v>343</v>
      </c>
      <c r="F69" s="82">
        <v>343</v>
      </c>
      <c r="G69" s="82"/>
      <c r="H69" s="82"/>
      <c r="I69" s="82"/>
      <c r="J69" s="82"/>
      <c r="K69" s="82">
        <v>0</v>
      </c>
      <c r="L69" s="82"/>
      <c r="M69" s="82"/>
      <c r="N69" s="82">
        <v>287.07130000000001</v>
      </c>
      <c r="O69" s="82"/>
      <c r="P69" s="83">
        <v>287.07130000000001</v>
      </c>
      <c r="Q69" s="82">
        <v>287.07130000000001</v>
      </c>
      <c r="R69" s="82"/>
      <c r="S69" s="82"/>
      <c r="T69" s="82"/>
      <c r="U69" s="82">
        <v>0</v>
      </c>
      <c r="V69" s="82"/>
      <c r="W69" s="82"/>
      <c r="X69" s="82"/>
      <c r="Y69" s="82"/>
      <c r="Z69" s="82"/>
      <c r="AA69" s="82"/>
      <c r="AB69" s="84">
        <f t="shared" si="2"/>
        <v>83.694256559766757</v>
      </c>
      <c r="AC69" s="84">
        <v>0</v>
      </c>
      <c r="AD69" s="84">
        <f t="shared" si="1"/>
        <v>83.694256559766757</v>
      </c>
      <c r="AE69" s="84"/>
    </row>
    <row r="70" spans="1:31" s="16" customFormat="1" ht="38.25" customHeight="1" x14ac:dyDescent="0.25">
      <c r="A70" s="80" t="s">
        <v>399</v>
      </c>
      <c r="B70" s="93" t="s">
        <v>339</v>
      </c>
      <c r="C70" s="82">
        <v>1870</v>
      </c>
      <c r="D70" s="82"/>
      <c r="E70" s="82">
        <v>1870</v>
      </c>
      <c r="F70" s="82">
        <v>1835</v>
      </c>
      <c r="G70" s="82"/>
      <c r="H70" s="82">
        <v>35</v>
      </c>
      <c r="I70" s="82"/>
      <c r="J70" s="82"/>
      <c r="K70" s="82">
        <v>0</v>
      </c>
      <c r="L70" s="82"/>
      <c r="M70" s="82"/>
      <c r="N70" s="82">
        <v>2020.4</v>
      </c>
      <c r="O70" s="82"/>
      <c r="P70" s="83">
        <v>2020.4</v>
      </c>
      <c r="Q70" s="82">
        <v>2020.4</v>
      </c>
      <c r="R70" s="82"/>
      <c r="S70" s="82"/>
      <c r="T70" s="82"/>
      <c r="U70" s="82">
        <v>0</v>
      </c>
      <c r="V70" s="82"/>
      <c r="W70" s="82"/>
      <c r="X70" s="82"/>
      <c r="Y70" s="82"/>
      <c r="Z70" s="82"/>
      <c r="AA70" s="82"/>
      <c r="AB70" s="84">
        <f t="shared" si="2"/>
        <v>108.04278074866311</v>
      </c>
      <c r="AC70" s="84">
        <v>0</v>
      </c>
      <c r="AD70" s="84">
        <f t="shared" si="1"/>
        <v>108.04278074866311</v>
      </c>
      <c r="AE70" s="84"/>
    </row>
    <row r="71" spans="1:31" s="16" customFormat="1" ht="34.5" customHeight="1" x14ac:dyDescent="0.25">
      <c r="A71" s="85" t="s">
        <v>400</v>
      </c>
      <c r="B71" s="92" t="s">
        <v>617</v>
      </c>
      <c r="C71" s="82">
        <v>1509</v>
      </c>
      <c r="D71" s="82"/>
      <c r="E71" s="82">
        <v>1509</v>
      </c>
      <c r="F71" s="82">
        <v>1509</v>
      </c>
      <c r="G71" s="82"/>
      <c r="H71" s="82"/>
      <c r="I71" s="82"/>
      <c r="J71" s="82"/>
      <c r="K71" s="82">
        <v>0</v>
      </c>
      <c r="L71" s="82"/>
      <c r="M71" s="82"/>
      <c r="N71" s="82">
        <v>1993.2980789999997</v>
      </c>
      <c r="O71" s="82"/>
      <c r="P71" s="83">
        <v>1514.4324969999998</v>
      </c>
      <c r="Q71" s="82">
        <v>1514.4324969999998</v>
      </c>
      <c r="R71" s="82"/>
      <c r="S71" s="82"/>
      <c r="T71" s="82"/>
      <c r="U71" s="82">
        <v>478.86558200000002</v>
      </c>
      <c r="V71" s="82"/>
      <c r="W71" s="82">
        <v>478.86558200000002</v>
      </c>
      <c r="X71" s="82"/>
      <c r="Y71" s="82"/>
      <c r="Z71" s="82"/>
      <c r="AA71" s="82"/>
      <c r="AB71" s="84">
        <f t="shared" si="2"/>
        <v>132.09397475149103</v>
      </c>
      <c r="AC71" s="84">
        <v>0</v>
      </c>
      <c r="AD71" s="84"/>
      <c r="AE71" s="84"/>
    </row>
    <row r="72" spans="1:31" s="16" customFormat="1" ht="39.75" customHeight="1" x14ac:dyDescent="0.25">
      <c r="A72" s="80" t="s">
        <v>401</v>
      </c>
      <c r="B72" s="90" t="s">
        <v>618</v>
      </c>
      <c r="C72" s="82">
        <v>65</v>
      </c>
      <c r="D72" s="82"/>
      <c r="E72" s="82">
        <v>65</v>
      </c>
      <c r="F72" s="82">
        <v>65</v>
      </c>
      <c r="G72" s="82"/>
      <c r="H72" s="82"/>
      <c r="I72" s="82"/>
      <c r="J72" s="82"/>
      <c r="K72" s="82">
        <v>0</v>
      </c>
      <c r="L72" s="82"/>
      <c r="M72" s="82"/>
      <c r="N72" s="82">
        <v>58</v>
      </c>
      <c r="O72" s="82"/>
      <c r="P72" s="83">
        <v>58</v>
      </c>
      <c r="Q72" s="82">
        <v>58</v>
      </c>
      <c r="R72" s="82"/>
      <c r="S72" s="82"/>
      <c r="T72" s="82"/>
      <c r="U72" s="82">
        <v>0</v>
      </c>
      <c r="V72" s="82"/>
      <c r="W72" s="82"/>
      <c r="X72" s="82"/>
      <c r="Y72" s="82"/>
      <c r="Z72" s="82"/>
      <c r="AA72" s="82"/>
      <c r="AB72" s="84">
        <f t="shared" si="2"/>
        <v>89.230769230769226</v>
      </c>
      <c r="AC72" s="84">
        <v>0</v>
      </c>
      <c r="AD72" s="84">
        <f t="shared" si="1"/>
        <v>89.230769230769226</v>
      </c>
      <c r="AE72" s="84"/>
    </row>
    <row r="73" spans="1:31" s="16" customFormat="1" ht="24.75" customHeight="1" x14ac:dyDescent="0.25">
      <c r="A73" s="85" t="s">
        <v>402</v>
      </c>
      <c r="B73" s="91" t="s">
        <v>619</v>
      </c>
      <c r="C73" s="82">
        <v>0</v>
      </c>
      <c r="D73" s="82"/>
      <c r="E73" s="82">
        <v>0</v>
      </c>
      <c r="F73" s="82"/>
      <c r="G73" s="82"/>
      <c r="H73" s="82"/>
      <c r="I73" s="82"/>
      <c r="J73" s="82"/>
      <c r="K73" s="82">
        <v>0</v>
      </c>
      <c r="L73" s="82"/>
      <c r="M73" s="82"/>
      <c r="N73" s="82">
        <v>56.51896</v>
      </c>
      <c r="O73" s="82"/>
      <c r="P73" s="83">
        <v>56.51896</v>
      </c>
      <c r="Q73" s="82"/>
      <c r="R73" s="82">
        <v>56.51896</v>
      </c>
      <c r="S73" s="82"/>
      <c r="T73" s="82"/>
      <c r="U73" s="82">
        <v>0</v>
      </c>
      <c r="V73" s="82"/>
      <c r="W73" s="82"/>
      <c r="X73" s="82"/>
      <c r="Y73" s="82"/>
      <c r="Z73" s="82"/>
      <c r="AA73" s="82"/>
      <c r="AB73" s="84"/>
      <c r="AC73" s="84">
        <v>0</v>
      </c>
      <c r="AD73" s="84"/>
      <c r="AE73" s="84"/>
    </row>
    <row r="74" spans="1:31" s="16" customFormat="1" ht="42.75" customHeight="1" x14ac:dyDescent="0.25">
      <c r="A74" s="80" t="s">
        <v>403</v>
      </c>
      <c r="B74" s="90" t="s">
        <v>620</v>
      </c>
      <c r="C74" s="82">
        <v>21260.417561999988</v>
      </c>
      <c r="D74" s="82">
        <v>21206.417561999988</v>
      </c>
      <c r="E74" s="82">
        <v>54</v>
      </c>
      <c r="F74" s="82">
        <v>54</v>
      </c>
      <c r="G74" s="82"/>
      <c r="H74" s="82"/>
      <c r="I74" s="82"/>
      <c r="J74" s="82"/>
      <c r="K74" s="82">
        <v>0</v>
      </c>
      <c r="L74" s="82"/>
      <c r="M74" s="82"/>
      <c r="N74" s="82">
        <v>3773.3762499999998</v>
      </c>
      <c r="O74" s="82">
        <v>3669.3762499999998</v>
      </c>
      <c r="P74" s="83">
        <v>104</v>
      </c>
      <c r="Q74" s="82"/>
      <c r="R74" s="82">
        <v>104</v>
      </c>
      <c r="S74" s="82"/>
      <c r="T74" s="82"/>
      <c r="U74" s="82">
        <v>0</v>
      </c>
      <c r="V74" s="82"/>
      <c r="W74" s="82"/>
      <c r="X74" s="82"/>
      <c r="Y74" s="82"/>
      <c r="Z74" s="82"/>
      <c r="AA74" s="82"/>
      <c r="AB74" s="84">
        <f t="shared" si="2"/>
        <v>17.748363779761224</v>
      </c>
      <c r="AC74" s="84">
        <f t="shared" si="2"/>
        <v>17.303140614260069</v>
      </c>
      <c r="AD74" s="84"/>
      <c r="AE74" s="84"/>
    </row>
    <row r="75" spans="1:31" s="16" customFormat="1" ht="34.5" customHeight="1" x14ac:dyDescent="0.25">
      <c r="A75" s="85" t="s">
        <v>404</v>
      </c>
      <c r="B75" s="90" t="s">
        <v>621</v>
      </c>
      <c r="C75" s="82">
        <v>375</v>
      </c>
      <c r="D75" s="82"/>
      <c r="E75" s="82">
        <v>375</v>
      </c>
      <c r="F75" s="82">
        <v>375</v>
      </c>
      <c r="G75" s="82"/>
      <c r="H75" s="82"/>
      <c r="I75" s="82"/>
      <c r="J75" s="82"/>
      <c r="K75" s="82">
        <v>0</v>
      </c>
      <c r="L75" s="82"/>
      <c r="M75" s="82"/>
      <c r="N75" s="82">
        <v>370.78577899999999</v>
      </c>
      <c r="O75" s="82"/>
      <c r="P75" s="83">
        <v>370.78577899999999</v>
      </c>
      <c r="Q75" s="82">
        <v>370.78577899999999</v>
      </c>
      <c r="R75" s="82"/>
      <c r="S75" s="82"/>
      <c r="T75" s="82"/>
      <c r="U75" s="82">
        <v>0</v>
      </c>
      <c r="V75" s="82"/>
      <c r="W75" s="82"/>
      <c r="X75" s="82"/>
      <c r="Y75" s="82"/>
      <c r="Z75" s="82"/>
      <c r="AA75" s="82"/>
      <c r="AB75" s="84">
        <f t="shared" si="2"/>
        <v>98.876207733333331</v>
      </c>
      <c r="AC75" s="84">
        <v>0</v>
      </c>
      <c r="AD75" s="84"/>
      <c r="AE75" s="84"/>
    </row>
    <row r="76" spans="1:31" s="16" customFormat="1" ht="18.75" customHeight="1" x14ac:dyDescent="0.25">
      <c r="A76" s="80" t="s">
        <v>405</v>
      </c>
      <c r="B76" s="90" t="s">
        <v>343</v>
      </c>
      <c r="C76" s="82">
        <v>200</v>
      </c>
      <c r="D76" s="82"/>
      <c r="E76" s="82">
        <v>200</v>
      </c>
      <c r="F76" s="82">
        <v>200</v>
      </c>
      <c r="G76" s="82"/>
      <c r="H76" s="82"/>
      <c r="I76" s="82"/>
      <c r="J76" s="82"/>
      <c r="K76" s="82">
        <v>0</v>
      </c>
      <c r="L76" s="82"/>
      <c r="M76" s="82"/>
      <c r="N76" s="82">
        <v>180</v>
      </c>
      <c r="O76" s="82"/>
      <c r="P76" s="83">
        <v>180</v>
      </c>
      <c r="Q76" s="82"/>
      <c r="R76" s="82">
        <v>180</v>
      </c>
      <c r="S76" s="82"/>
      <c r="T76" s="82"/>
      <c r="U76" s="82">
        <v>0</v>
      </c>
      <c r="V76" s="82"/>
      <c r="W76" s="82"/>
      <c r="X76" s="82"/>
      <c r="Y76" s="82"/>
      <c r="Z76" s="82"/>
      <c r="AA76" s="82"/>
      <c r="AB76" s="84">
        <f t="shared" si="2"/>
        <v>90</v>
      </c>
      <c r="AC76" s="84"/>
      <c r="AD76" s="84">
        <f t="shared" ref="AD76:AD112" si="3">P76/E76%</f>
        <v>90</v>
      </c>
      <c r="AE76" s="84"/>
    </row>
    <row r="77" spans="1:31" s="16" customFormat="1" ht="16.5" customHeight="1" x14ac:dyDescent="0.25">
      <c r="A77" s="85" t="s">
        <v>406</v>
      </c>
      <c r="B77" s="90" t="s">
        <v>622</v>
      </c>
      <c r="C77" s="82">
        <v>60</v>
      </c>
      <c r="D77" s="82"/>
      <c r="E77" s="82">
        <v>60</v>
      </c>
      <c r="F77" s="82">
        <v>60</v>
      </c>
      <c r="G77" s="82"/>
      <c r="H77" s="82"/>
      <c r="I77" s="82"/>
      <c r="J77" s="82"/>
      <c r="K77" s="82">
        <v>0</v>
      </c>
      <c r="L77" s="82"/>
      <c r="M77" s="82"/>
      <c r="N77" s="82">
        <v>0</v>
      </c>
      <c r="O77" s="82"/>
      <c r="P77" s="83">
        <v>0</v>
      </c>
      <c r="Q77" s="82"/>
      <c r="R77" s="82"/>
      <c r="S77" s="82"/>
      <c r="T77" s="82"/>
      <c r="U77" s="82">
        <v>0</v>
      </c>
      <c r="V77" s="82"/>
      <c r="W77" s="82"/>
      <c r="X77" s="82"/>
      <c r="Y77" s="82"/>
      <c r="Z77" s="82"/>
      <c r="AA77" s="82"/>
      <c r="AB77" s="84"/>
      <c r="AC77" s="84"/>
      <c r="AD77" s="84"/>
      <c r="AE77" s="84"/>
    </row>
    <row r="78" spans="1:31" s="16" customFormat="1" ht="20.25" customHeight="1" x14ac:dyDescent="0.25">
      <c r="A78" s="80" t="s">
        <v>407</v>
      </c>
      <c r="B78" s="92" t="s">
        <v>623</v>
      </c>
      <c r="C78" s="82">
        <v>229.610626</v>
      </c>
      <c r="D78" s="82"/>
      <c r="E78" s="82">
        <v>229.610626</v>
      </c>
      <c r="F78" s="82">
        <v>229.610626</v>
      </c>
      <c r="G78" s="82"/>
      <c r="H78" s="82"/>
      <c r="I78" s="82"/>
      <c r="J78" s="82"/>
      <c r="K78" s="82">
        <v>0</v>
      </c>
      <c r="L78" s="82"/>
      <c r="M78" s="82"/>
      <c r="N78" s="82">
        <v>285</v>
      </c>
      <c r="O78" s="82"/>
      <c r="P78" s="83">
        <v>285</v>
      </c>
      <c r="Q78" s="82"/>
      <c r="R78" s="82">
        <v>285</v>
      </c>
      <c r="S78" s="82"/>
      <c r="T78" s="82"/>
      <c r="U78" s="82">
        <v>0</v>
      </c>
      <c r="V78" s="82"/>
      <c r="W78" s="82"/>
      <c r="X78" s="82"/>
      <c r="Y78" s="82"/>
      <c r="Z78" s="82"/>
      <c r="AA78" s="82"/>
      <c r="AB78" s="84">
        <f t="shared" si="2"/>
        <v>124.12317537952271</v>
      </c>
      <c r="AC78" s="84"/>
      <c r="AD78" s="84">
        <f t="shared" si="3"/>
        <v>124.12317537952271</v>
      </c>
      <c r="AE78" s="84"/>
    </row>
    <row r="79" spans="1:31" s="16" customFormat="1" ht="24.75" customHeight="1" x14ac:dyDescent="0.25">
      <c r="A79" s="85" t="s">
        <v>408</v>
      </c>
      <c r="B79" s="90" t="s">
        <v>624</v>
      </c>
      <c r="C79" s="82">
        <v>103</v>
      </c>
      <c r="D79" s="82"/>
      <c r="E79" s="82">
        <v>103</v>
      </c>
      <c r="F79" s="82">
        <v>103</v>
      </c>
      <c r="G79" s="82"/>
      <c r="H79" s="82"/>
      <c r="I79" s="82"/>
      <c r="J79" s="82"/>
      <c r="K79" s="82">
        <v>0</v>
      </c>
      <c r="L79" s="82"/>
      <c r="M79" s="82"/>
      <c r="N79" s="82">
        <v>114</v>
      </c>
      <c r="O79" s="82"/>
      <c r="P79" s="83">
        <v>114</v>
      </c>
      <c r="Q79" s="82"/>
      <c r="R79" s="82">
        <v>114</v>
      </c>
      <c r="S79" s="82"/>
      <c r="T79" s="82"/>
      <c r="U79" s="82">
        <v>0</v>
      </c>
      <c r="V79" s="82"/>
      <c r="W79" s="82"/>
      <c r="X79" s="82"/>
      <c r="Y79" s="82"/>
      <c r="Z79" s="82"/>
      <c r="AA79" s="82"/>
      <c r="AB79" s="84"/>
      <c r="AC79" s="84"/>
      <c r="AD79" s="84"/>
      <c r="AE79" s="84"/>
    </row>
    <row r="80" spans="1:31" s="16" customFormat="1" ht="24.75" customHeight="1" x14ac:dyDescent="0.25">
      <c r="A80" s="80" t="s">
        <v>409</v>
      </c>
      <c r="B80" s="90" t="s">
        <v>625</v>
      </c>
      <c r="C80" s="82">
        <v>182.876451</v>
      </c>
      <c r="D80" s="82"/>
      <c r="E80" s="82">
        <v>182.876451</v>
      </c>
      <c r="F80" s="82">
        <v>182.876451</v>
      </c>
      <c r="G80" s="82"/>
      <c r="H80" s="82"/>
      <c r="I80" s="82"/>
      <c r="J80" s="82"/>
      <c r="K80" s="82">
        <v>0</v>
      </c>
      <c r="L80" s="82"/>
      <c r="M80" s="82"/>
      <c r="N80" s="82">
        <v>3431.3844800000002</v>
      </c>
      <c r="O80" s="82"/>
      <c r="P80" s="83">
        <v>177.64148000000023</v>
      </c>
      <c r="Q80" s="82"/>
      <c r="R80" s="82">
        <v>177.64148000000023</v>
      </c>
      <c r="S80" s="82"/>
      <c r="T80" s="82"/>
      <c r="U80" s="82">
        <v>3253.7429999999999</v>
      </c>
      <c r="V80" s="82"/>
      <c r="W80" s="82">
        <v>3253.7429999999999</v>
      </c>
      <c r="X80" s="82"/>
      <c r="Y80" s="82"/>
      <c r="Z80" s="82"/>
      <c r="AA80" s="82"/>
      <c r="AB80" s="84"/>
      <c r="AC80" s="84"/>
      <c r="AD80" s="84"/>
      <c r="AE80" s="84"/>
    </row>
    <row r="81" spans="1:31" s="16" customFormat="1" ht="20.25" customHeight="1" x14ac:dyDescent="0.25">
      <c r="A81" s="85" t="s">
        <v>410</v>
      </c>
      <c r="B81" s="90" t="s">
        <v>626</v>
      </c>
      <c r="C81" s="82">
        <v>104</v>
      </c>
      <c r="D81" s="82"/>
      <c r="E81" s="82">
        <v>104</v>
      </c>
      <c r="F81" s="82">
        <v>104</v>
      </c>
      <c r="G81" s="82"/>
      <c r="H81" s="82"/>
      <c r="I81" s="82"/>
      <c r="J81" s="82"/>
      <c r="K81" s="82">
        <v>0</v>
      </c>
      <c r="L81" s="82"/>
      <c r="M81" s="82"/>
      <c r="N81" s="82">
        <v>4375</v>
      </c>
      <c r="O81" s="82"/>
      <c r="P81" s="83">
        <v>108</v>
      </c>
      <c r="Q81" s="82"/>
      <c r="R81" s="82">
        <v>108</v>
      </c>
      <c r="S81" s="82"/>
      <c r="T81" s="82"/>
      <c r="U81" s="82">
        <v>4267</v>
      </c>
      <c r="V81" s="82"/>
      <c r="W81" s="82">
        <v>4267</v>
      </c>
      <c r="X81" s="82"/>
      <c r="Y81" s="82"/>
      <c r="Z81" s="82"/>
      <c r="AA81" s="82"/>
      <c r="AB81" s="84"/>
      <c r="AC81" s="84"/>
      <c r="AD81" s="84"/>
      <c r="AE81" s="84"/>
    </row>
    <row r="82" spans="1:31" s="16" customFormat="1" ht="24.75" customHeight="1" x14ac:dyDescent="0.25">
      <c r="A82" s="80" t="s">
        <v>411</v>
      </c>
      <c r="B82" s="90" t="s">
        <v>627</v>
      </c>
      <c r="C82" s="82">
        <v>108</v>
      </c>
      <c r="D82" s="82"/>
      <c r="E82" s="82">
        <v>108</v>
      </c>
      <c r="F82" s="82">
        <v>108</v>
      </c>
      <c r="G82" s="82"/>
      <c r="H82" s="82"/>
      <c r="I82" s="82"/>
      <c r="J82" s="82"/>
      <c r="K82" s="82">
        <v>0</v>
      </c>
      <c r="L82" s="82"/>
      <c r="M82" s="82"/>
      <c r="N82" s="82">
        <v>133</v>
      </c>
      <c r="O82" s="82"/>
      <c r="P82" s="83">
        <v>133</v>
      </c>
      <c r="Q82" s="82"/>
      <c r="R82" s="82">
        <v>133</v>
      </c>
      <c r="S82" s="82"/>
      <c r="T82" s="82"/>
      <c r="U82" s="82">
        <v>0</v>
      </c>
      <c r="V82" s="82"/>
      <c r="W82" s="82"/>
      <c r="X82" s="82"/>
      <c r="Y82" s="82"/>
      <c r="Z82" s="82"/>
      <c r="AA82" s="82"/>
      <c r="AB82" s="84"/>
      <c r="AC82" s="84"/>
      <c r="AD82" s="84"/>
      <c r="AE82" s="84"/>
    </row>
    <row r="83" spans="1:31" s="16" customFormat="1" ht="24.75" customHeight="1" x14ac:dyDescent="0.25">
      <c r="A83" s="85" t="s">
        <v>412</v>
      </c>
      <c r="B83" s="90" t="s">
        <v>628</v>
      </c>
      <c r="C83" s="82">
        <v>168.63617500000001</v>
      </c>
      <c r="D83" s="82"/>
      <c r="E83" s="82">
        <v>168.63617500000001</v>
      </c>
      <c r="F83" s="82">
        <v>168.63617500000001</v>
      </c>
      <c r="G83" s="82"/>
      <c r="H83" s="82"/>
      <c r="I83" s="82"/>
      <c r="J83" s="82"/>
      <c r="K83" s="82">
        <v>0</v>
      </c>
      <c r="L83" s="82"/>
      <c r="M83" s="82"/>
      <c r="N83" s="82">
        <v>1873.9264499999999</v>
      </c>
      <c r="O83" s="82"/>
      <c r="P83" s="83">
        <v>618</v>
      </c>
      <c r="Q83" s="82"/>
      <c r="R83" s="82">
        <v>618</v>
      </c>
      <c r="S83" s="82"/>
      <c r="T83" s="82"/>
      <c r="U83" s="82">
        <v>1255.9264499999999</v>
      </c>
      <c r="V83" s="82"/>
      <c r="W83" s="82">
        <v>1255.9264499999999</v>
      </c>
      <c r="X83" s="82"/>
      <c r="Y83" s="82"/>
      <c r="Z83" s="82"/>
      <c r="AA83" s="82"/>
      <c r="AB83" s="84"/>
      <c r="AC83" s="84"/>
      <c r="AD83" s="84">
        <f t="shared" si="3"/>
        <v>366.46941262751005</v>
      </c>
      <c r="AE83" s="84"/>
    </row>
    <row r="84" spans="1:31" s="16" customFormat="1" ht="24.75" customHeight="1" x14ac:dyDescent="0.25">
      <c r="A84" s="80" t="s">
        <v>413</v>
      </c>
      <c r="B84" s="90" t="s">
        <v>629</v>
      </c>
      <c r="C84" s="82">
        <v>100.68110299999999</v>
      </c>
      <c r="D84" s="82"/>
      <c r="E84" s="82">
        <v>100.68110299999999</v>
      </c>
      <c r="F84" s="82">
        <v>100.68110299999999</v>
      </c>
      <c r="G84" s="82"/>
      <c r="H84" s="82"/>
      <c r="I84" s="82"/>
      <c r="J84" s="82"/>
      <c r="K84" s="82"/>
      <c r="L84" s="82"/>
      <c r="M84" s="82"/>
      <c r="N84" s="82">
        <v>5610</v>
      </c>
      <c r="O84" s="82"/>
      <c r="P84" s="83">
        <v>180</v>
      </c>
      <c r="Q84" s="82"/>
      <c r="R84" s="82">
        <v>180</v>
      </c>
      <c r="S84" s="82"/>
      <c r="T84" s="82"/>
      <c r="U84" s="82">
        <v>5430</v>
      </c>
      <c r="V84" s="82"/>
      <c r="W84" s="82">
        <v>5430</v>
      </c>
      <c r="X84" s="82"/>
      <c r="Y84" s="82"/>
      <c r="Z84" s="82"/>
      <c r="AA84" s="82"/>
      <c r="AB84" s="84"/>
      <c r="AC84" s="84"/>
      <c r="AD84" s="84">
        <f t="shared" si="3"/>
        <v>178.78230833446472</v>
      </c>
      <c r="AE84" s="84"/>
    </row>
    <row r="85" spans="1:31" s="16" customFormat="1" ht="24.75" hidden="1" customHeight="1" outlineLevel="1" x14ac:dyDescent="0.25">
      <c r="A85" s="85" t="s">
        <v>414</v>
      </c>
      <c r="B85" s="90" t="s">
        <v>630</v>
      </c>
      <c r="C85" s="82">
        <v>1050</v>
      </c>
      <c r="D85" s="82"/>
      <c r="E85" s="82">
        <v>1050</v>
      </c>
      <c r="F85" s="82">
        <v>1050</v>
      </c>
      <c r="G85" s="82"/>
      <c r="H85" s="82"/>
      <c r="I85" s="82"/>
      <c r="J85" s="82"/>
      <c r="K85" s="82"/>
      <c r="L85" s="82"/>
      <c r="M85" s="82"/>
      <c r="N85" s="82">
        <v>606.30999999999995</v>
      </c>
      <c r="O85" s="82"/>
      <c r="P85" s="83">
        <v>606.30999999999995</v>
      </c>
      <c r="Q85" s="82"/>
      <c r="R85" s="82">
        <v>606.30999999999995</v>
      </c>
      <c r="S85" s="82"/>
      <c r="T85" s="82"/>
      <c r="U85" s="82"/>
      <c r="V85" s="82"/>
      <c r="W85" s="82"/>
      <c r="X85" s="82"/>
      <c r="Y85" s="82"/>
      <c r="Z85" s="82"/>
      <c r="AA85" s="82"/>
      <c r="AB85" s="84"/>
      <c r="AC85" s="84"/>
      <c r="AD85" s="84">
        <f t="shared" si="3"/>
        <v>57.743809523809517</v>
      </c>
      <c r="AE85" s="84"/>
    </row>
    <row r="86" spans="1:31" s="16" customFormat="1" ht="24.75" hidden="1" customHeight="1" outlineLevel="1" x14ac:dyDescent="0.25">
      <c r="A86" s="80" t="s">
        <v>415</v>
      </c>
      <c r="B86" s="90" t="s">
        <v>631</v>
      </c>
      <c r="C86" s="82">
        <v>1572</v>
      </c>
      <c r="D86" s="82"/>
      <c r="E86" s="82">
        <v>1572</v>
      </c>
      <c r="F86" s="82">
        <v>1572</v>
      </c>
      <c r="G86" s="82"/>
      <c r="H86" s="82"/>
      <c r="I86" s="82"/>
      <c r="J86" s="82"/>
      <c r="K86" s="82"/>
      <c r="L86" s="82"/>
      <c r="M86" s="82"/>
      <c r="N86" s="82">
        <v>2205</v>
      </c>
      <c r="O86" s="82"/>
      <c r="P86" s="83">
        <v>2205</v>
      </c>
      <c r="Q86" s="82"/>
      <c r="R86" s="82">
        <v>2205</v>
      </c>
      <c r="S86" s="82"/>
      <c r="T86" s="82"/>
      <c r="U86" s="82"/>
      <c r="V86" s="82"/>
      <c r="W86" s="82"/>
      <c r="X86" s="82"/>
      <c r="Y86" s="82"/>
      <c r="Z86" s="82"/>
      <c r="AA86" s="82"/>
      <c r="AB86" s="84"/>
      <c r="AC86" s="84"/>
      <c r="AD86" s="84">
        <f t="shared" si="3"/>
        <v>140.26717557251908</v>
      </c>
      <c r="AE86" s="84"/>
    </row>
    <row r="87" spans="1:31" s="16" customFormat="1" ht="24.75" hidden="1" customHeight="1" outlineLevel="1" x14ac:dyDescent="0.25">
      <c r="A87" s="85" t="s">
        <v>416</v>
      </c>
      <c r="B87" s="90" t="s">
        <v>359</v>
      </c>
      <c r="C87" s="82">
        <v>4697.3850869999997</v>
      </c>
      <c r="D87" s="82"/>
      <c r="E87" s="82">
        <v>4697.3850869999997</v>
      </c>
      <c r="F87" s="82">
        <v>4697.3850869999997</v>
      </c>
      <c r="G87" s="82"/>
      <c r="H87" s="82"/>
      <c r="I87" s="82"/>
      <c r="J87" s="82"/>
      <c r="K87" s="82"/>
      <c r="L87" s="82"/>
      <c r="M87" s="82"/>
      <c r="N87" s="82">
        <v>4845</v>
      </c>
      <c r="O87" s="82"/>
      <c r="P87" s="83">
        <v>4845</v>
      </c>
      <c r="Q87" s="82"/>
      <c r="R87" s="82">
        <v>4845</v>
      </c>
      <c r="S87" s="82"/>
      <c r="T87" s="82"/>
      <c r="U87" s="82"/>
      <c r="V87" s="82"/>
      <c r="W87" s="82"/>
      <c r="X87" s="82"/>
      <c r="Y87" s="82"/>
      <c r="Z87" s="82"/>
      <c r="AA87" s="82"/>
      <c r="AB87" s="84"/>
      <c r="AC87" s="84"/>
      <c r="AD87" s="84">
        <f t="shared" si="3"/>
        <v>103.14249120023231</v>
      </c>
      <c r="AE87" s="84"/>
    </row>
    <row r="88" spans="1:31" s="16" customFormat="1" ht="24.75" hidden="1" customHeight="1" outlineLevel="1" x14ac:dyDescent="0.25">
      <c r="A88" s="80" t="s">
        <v>417</v>
      </c>
      <c r="B88" s="90" t="s">
        <v>632</v>
      </c>
      <c r="C88" s="82">
        <v>5117.2488409999996</v>
      </c>
      <c r="D88" s="82"/>
      <c r="E88" s="82">
        <v>5117.2488409999996</v>
      </c>
      <c r="F88" s="82">
        <v>5117.2488409999996</v>
      </c>
      <c r="G88" s="82"/>
      <c r="H88" s="82"/>
      <c r="I88" s="82"/>
      <c r="J88" s="82"/>
      <c r="K88" s="82"/>
      <c r="L88" s="82"/>
      <c r="M88" s="82"/>
      <c r="N88" s="82">
        <v>6630</v>
      </c>
      <c r="O88" s="82"/>
      <c r="P88" s="83">
        <v>6630</v>
      </c>
      <c r="Q88" s="82"/>
      <c r="R88" s="82">
        <v>6630</v>
      </c>
      <c r="S88" s="82"/>
      <c r="T88" s="82"/>
      <c r="U88" s="82"/>
      <c r="V88" s="82"/>
      <c r="W88" s="82"/>
      <c r="X88" s="82"/>
      <c r="Y88" s="82"/>
      <c r="Z88" s="82"/>
      <c r="AA88" s="82"/>
      <c r="AB88" s="84"/>
      <c r="AC88" s="84"/>
      <c r="AD88" s="84">
        <f t="shared" si="3"/>
        <v>129.56180568901905</v>
      </c>
      <c r="AE88" s="84"/>
    </row>
    <row r="89" spans="1:31" s="16" customFormat="1" ht="24.75" customHeight="1" collapsed="1" x14ac:dyDescent="0.25">
      <c r="A89" s="85" t="s">
        <v>418</v>
      </c>
      <c r="B89" s="90" t="s">
        <v>633</v>
      </c>
      <c r="C89" s="82">
        <v>2487.6</v>
      </c>
      <c r="D89" s="82"/>
      <c r="E89" s="82">
        <v>2487.6</v>
      </c>
      <c r="F89" s="82">
        <v>2487.6</v>
      </c>
      <c r="G89" s="82"/>
      <c r="H89" s="82"/>
      <c r="I89" s="82"/>
      <c r="J89" s="82"/>
      <c r="K89" s="82"/>
      <c r="L89" s="82"/>
      <c r="M89" s="82"/>
      <c r="N89" s="82">
        <v>3636</v>
      </c>
      <c r="O89" s="82"/>
      <c r="P89" s="83">
        <v>3636</v>
      </c>
      <c r="Q89" s="82"/>
      <c r="R89" s="82">
        <v>3636</v>
      </c>
      <c r="S89" s="82"/>
      <c r="T89" s="82"/>
      <c r="U89" s="82"/>
      <c r="V89" s="82"/>
      <c r="W89" s="82"/>
      <c r="X89" s="82"/>
      <c r="Y89" s="82"/>
      <c r="Z89" s="82"/>
      <c r="AA89" s="82"/>
      <c r="AB89" s="84"/>
      <c r="AC89" s="84"/>
      <c r="AD89" s="84">
        <f t="shared" si="3"/>
        <v>146.16497829232998</v>
      </c>
      <c r="AE89" s="84"/>
    </row>
    <row r="90" spans="1:31" s="16" customFormat="1" ht="19.5" customHeight="1" x14ac:dyDescent="0.25">
      <c r="A90" s="85" t="s">
        <v>419</v>
      </c>
      <c r="B90" s="90" t="s">
        <v>634</v>
      </c>
      <c r="C90" s="82">
        <v>3790</v>
      </c>
      <c r="D90" s="82"/>
      <c r="E90" s="82">
        <v>3790</v>
      </c>
      <c r="F90" s="82"/>
      <c r="G90" s="82">
        <v>3790</v>
      </c>
      <c r="H90" s="82"/>
      <c r="I90" s="82"/>
      <c r="J90" s="82"/>
      <c r="K90" s="82"/>
      <c r="L90" s="82"/>
      <c r="M90" s="82"/>
      <c r="N90" s="82">
        <v>0</v>
      </c>
      <c r="O90" s="82"/>
      <c r="P90" s="83">
        <v>0</v>
      </c>
      <c r="Q90" s="82"/>
      <c r="R90" s="82"/>
      <c r="S90" s="82"/>
      <c r="T90" s="82"/>
      <c r="U90" s="82"/>
      <c r="V90" s="82"/>
      <c r="W90" s="82"/>
      <c r="X90" s="82"/>
      <c r="Y90" s="82"/>
      <c r="Z90" s="82"/>
      <c r="AA90" s="82"/>
      <c r="AB90" s="84"/>
      <c r="AC90" s="84"/>
      <c r="AD90" s="84">
        <f t="shared" si="3"/>
        <v>0</v>
      </c>
      <c r="AE90" s="84"/>
    </row>
    <row r="91" spans="1:31" s="16" customFormat="1" ht="24.75" customHeight="1" x14ac:dyDescent="0.25">
      <c r="A91" s="85">
        <v>76</v>
      </c>
      <c r="B91" s="92" t="s">
        <v>635</v>
      </c>
      <c r="C91" s="82">
        <v>0</v>
      </c>
      <c r="D91" s="82"/>
      <c r="E91" s="82">
        <v>0</v>
      </c>
      <c r="F91" s="82"/>
      <c r="G91" s="82"/>
      <c r="H91" s="82"/>
      <c r="I91" s="82"/>
      <c r="J91" s="82"/>
      <c r="K91" s="82"/>
      <c r="L91" s="82"/>
      <c r="M91" s="82"/>
      <c r="N91" s="82">
        <v>23.89</v>
      </c>
      <c r="O91" s="82"/>
      <c r="P91" s="83">
        <v>23.89</v>
      </c>
      <c r="Q91" s="82">
        <v>23.89</v>
      </c>
      <c r="R91" s="82"/>
      <c r="S91" s="82"/>
      <c r="T91" s="82"/>
      <c r="U91" s="82"/>
      <c r="V91" s="82"/>
      <c r="W91" s="82"/>
      <c r="X91" s="82"/>
      <c r="Y91" s="82"/>
      <c r="Z91" s="82"/>
      <c r="AA91" s="82"/>
      <c r="AB91" s="84"/>
      <c r="AC91" s="84"/>
      <c r="AD91" s="84"/>
      <c r="AE91" s="84"/>
    </row>
    <row r="92" spans="1:31" s="46" customFormat="1" ht="36" customHeight="1" x14ac:dyDescent="0.25">
      <c r="A92" s="85" t="s">
        <v>536</v>
      </c>
      <c r="B92" s="90" t="s">
        <v>636</v>
      </c>
      <c r="C92" s="82">
        <v>7832</v>
      </c>
      <c r="D92" s="82">
        <v>7832</v>
      </c>
      <c r="E92" s="82">
        <v>0</v>
      </c>
      <c r="F92" s="82"/>
      <c r="G92" s="82"/>
      <c r="H92" s="82"/>
      <c r="I92" s="82"/>
      <c r="J92" s="82"/>
      <c r="K92" s="82"/>
      <c r="L92" s="82"/>
      <c r="M92" s="82"/>
      <c r="N92" s="82">
        <v>8649.7379999999994</v>
      </c>
      <c r="O92" s="82">
        <v>8649.7379999999994</v>
      </c>
      <c r="P92" s="83">
        <v>0</v>
      </c>
      <c r="Q92" s="82"/>
      <c r="R92" s="82"/>
      <c r="S92" s="82"/>
      <c r="T92" s="82"/>
      <c r="U92" s="82"/>
      <c r="V92" s="82"/>
      <c r="W92" s="82"/>
      <c r="X92" s="82"/>
      <c r="Y92" s="82"/>
      <c r="Z92" s="82"/>
      <c r="AA92" s="82"/>
      <c r="AB92" s="84"/>
      <c r="AC92" s="84"/>
      <c r="AD92" s="84"/>
      <c r="AE92" s="84"/>
    </row>
    <row r="93" spans="1:31" s="16" customFormat="1" ht="22.5" customHeight="1" x14ac:dyDescent="0.25">
      <c r="A93" s="85" t="s">
        <v>537</v>
      </c>
      <c r="B93" s="90" t="s">
        <v>637</v>
      </c>
      <c r="C93" s="82">
        <v>0</v>
      </c>
      <c r="D93" s="82">
        <v>0</v>
      </c>
      <c r="E93" s="82">
        <v>0</v>
      </c>
      <c r="F93" s="82"/>
      <c r="G93" s="82"/>
      <c r="H93" s="82"/>
      <c r="I93" s="82"/>
      <c r="J93" s="82"/>
      <c r="K93" s="82"/>
      <c r="L93" s="82"/>
      <c r="M93" s="82"/>
      <c r="N93" s="82">
        <v>964.68899999999996</v>
      </c>
      <c r="O93" s="82">
        <v>964.68899999999996</v>
      </c>
      <c r="P93" s="83">
        <v>0</v>
      </c>
      <c r="Q93" s="82"/>
      <c r="R93" s="82"/>
      <c r="S93" s="82"/>
      <c r="T93" s="82"/>
      <c r="U93" s="82"/>
      <c r="V93" s="82"/>
      <c r="W93" s="82"/>
      <c r="X93" s="82"/>
      <c r="Y93" s="82"/>
      <c r="Z93" s="82"/>
      <c r="AA93" s="82"/>
      <c r="AB93" s="84"/>
      <c r="AC93" s="84"/>
      <c r="AD93" s="84"/>
      <c r="AE93" s="84"/>
    </row>
    <row r="94" spans="1:31" s="16" customFormat="1" ht="29.25" customHeight="1" x14ac:dyDescent="0.25">
      <c r="A94" s="85" t="s">
        <v>638</v>
      </c>
      <c r="B94" s="90" t="s">
        <v>639</v>
      </c>
      <c r="C94" s="82">
        <v>0</v>
      </c>
      <c r="D94" s="82"/>
      <c r="E94" s="82">
        <v>0</v>
      </c>
      <c r="F94" s="82"/>
      <c r="G94" s="82"/>
      <c r="H94" s="82"/>
      <c r="I94" s="82"/>
      <c r="J94" s="82"/>
      <c r="K94" s="82"/>
      <c r="L94" s="82"/>
      <c r="M94" s="82"/>
      <c r="N94" s="82">
        <v>634.6</v>
      </c>
      <c r="O94" s="82">
        <v>634.6</v>
      </c>
      <c r="P94" s="83">
        <v>0</v>
      </c>
      <c r="Q94" s="82"/>
      <c r="R94" s="82"/>
      <c r="S94" s="82"/>
      <c r="T94" s="82"/>
      <c r="U94" s="82"/>
      <c r="V94" s="82"/>
      <c r="W94" s="82"/>
      <c r="X94" s="82"/>
      <c r="Y94" s="82"/>
      <c r="Z94" s="82"/>
      <c r="AA94" s="82"/>
      <c r="AB94" s="84"/>
      <c r="AC94" s="84"/>
      <c r="AD94" s="84"/>
      <c r="AE94" s="84"/>
    </row>
    <row r="95" spans="1:31" s="16" customFormat="1" ht="24.75" customHeight="1" x14ac:dyDescent="0.25">
      <c r="A95" s="85" t="s">
        <v>640</v>
      </c>
      <c r="B95" s="90" t="s">
        <v>641</v>
      </c>
      <c r="C95" s="82">
        <v>0</v>
      </c>
      <c r="D95" s="82"/>
      <c r="E95" s="82">
        <v>0</v>
      </c>
      <c r="F95" s="82"/>
      <c r="G95" s="82"/>
      <c r="H95" s="82"/>
      <c r="I95" s="82"/>
      <c r="J95" s="82"/>
      <c r="K95" s="82"/>
      <c r="L95" s="82"/>
      <c r="M95" s="82"/>
      <c r="N95" s="82">
        <v>1754.4770000000001</v>
      </c>
      <c r="O95" s="82">
        <v>1754.4770000000001</v>
      </c>
      <c r="P95" s="83">
        <v>0</v>
      </c>
      <c r="Q95" s="82"/>
      <c r="R95" s="82"/>
      <c r="S95" s="82"/>
      <c r="T95" s="82"/>
      <c r="U95" s="82"/>
      <c r="V95" s="82"/>
      <c r="W95" s="82"/>
      <c r="X95" s="82"/>
      <c r="Y95" s="82"/>
      <c r="Z95" s="82"/>
      <c r="AA95" s="82"/>
      <c r="AB95" s="84"/>
      <c r="AC95" s="84"/>
      <c r="AD95" s="84"/>
      <c r="AE95" s="84"/>
    </row>
    <row r="96" spans="1:31" s="16" customFormat="1" ht="60.75" customHeight="1" x14ac:dyDescent="0.25">
      <c r="A96" s="85" t="s">
        <v>642</v>
      </c>
      <c r="B96" s="90" t="s">
        <v>643</v>
      </c>
      <c r="C96" s="82">
        <v>0</v>
      </c>
      <c r="D96" s="82"/>
      <c r="E96" s="82">
        <v>0</v>
      </c>
      <c r="F96" s="82"/>
      <c r="G96" s="82"/>
      <c r="H96" s="82"/>
      <c r="I96" s="82"/>
      <c r="J96" s="82"/>
      <c r="K96" s="82"/>
      <c r="L96" s="82"/>
      <c r="M96" s="82"/>
      <c r="N96" s="82">
        <v>253.999548</v>
      </c>
      <c r="O96" s="82">
        <v>253.999548</v>
      </c>
      <c r="P96" s="83">
        <v>0</v>
      </c>
      <c r="Q96" s="82"/>
      <c r="R96" s="82"/>
      <c r="S96" s="82"/>
      <c r="T96" s="82"/>
      <c r="U96" s="82"/>
      <c r="V96" s="82"/>
      <c r="W96" s="82"/>
      <c r="X96" s="82"/>
      <c r="Y96" s="82"/>
      <c r="Z96" s="82"/>
      <c r="AA96" s="82"/>
      <c r="AB96" s="84"/>
      <c r="AC96" s="84"/>
      <c r="AD96" s="84"/>
      <c r="AE96" s="84"/>
    </row>
    <row r="97" spans="1:31" s="16" customFormat="1" ht="51.75" customHeight="1" x14ac:dyDescent="0.25">
      <c r="A97" s="94" t="s">
        <v>363</v>
      </c>
      <c r="B97" s="95" t="s">
        <v>364</v>
      </c>
      <c r="C97" s="76">
        <v>250866</v>
      </c>
      <c r="D97" s="76">
        <v>250866</v>
      </c>
      <c r="E97" s="76">
        <v>0</v>
      </c>
      <c r="F97" s="76"/>
      <c r="G97" s="76"/>
      <c r="H97" s="76"/>
      <c r="I97" s="76">
        <v>0</v>
      </c>
      <c r="J97" s="76">
        <v>0</v>
      </c>
      <c r="K97" s="76">
        <v>0</v>
      </c>
      <c r="L97" s="76">
        <v>0</v>
      </c>
      <c r="M97" s="76">
        <v>0</v>
      </c>
      <c r="N97" s="76">
        <v>430343.50090400001</v>
      </c>
      <c r="O97" s="76">
        <v>430293.50090400001</v>
      </c>
      <c r="P97" s="76">
        <v>0</v>
      </c>
      <c r="Q97" s="76">
        <v>0</v>
      </c>
      <c r="R97" s="76">
        <v>0</v>
      </c>
      <c r="S97" s="76">
        <v>0</v>
      </c>
      <c r="T97" s="76">
        <v>0</v>
      </c>
      <c r="U97" s="76">
        <v>50</v>
      </c>
      <c r="V97" s="76">
        <v>50</v>
      </c>
      <c r="W97" s="76"/>
      <c r="X97" s="76">
        <v>0</v>
      </c>
      <c r="Y97" s="76">
        <v>0</v>
      </c>
      <c r="Z97" s="76">
        <v>0</v>
      </c>
      <c r="AA97" s="76"/>
      <c r="AB97" s="84">
        <f t="shared" ref="AB97:AC118" si="4">N97/C97%</f>
        <v>171.54317480407869</v>
      </c>
      <c r="AC97" s="84">
        <f t="shared" si="4"/>
        <v>171.52324384492121</v>
      </c>
      <c r="AD97" s="84"/>
      <c r="AE97" s="84"/>
    </row>
    <row r="98" spans="1:31" s="16" customFormat="1" ht="24.75" customHeight="1" x14ac:dyDescent="0.25">
      <c r="A98" s="96" t="s">
        <v>259</v>
      </c>
      <c r="B98" s="97" t="s">
        <v>365</v>
      </c>
      <c r="C98" s="82">
        <v>28237</v>
      </c>
      <c r="D98" s="83">
        <v>28237</v>
      </c>
      <c r="E98" s="83"/>
      <c r="F98" s="83"/>
      <c r="G98" s="83"/>
      <c r="H98" s="83"/>
      <c r="I98" s="83"/>
      <c r="J98" s="83"/>
      <c r="K98" s="82">
        <v>0</v>
      </c>
      <c r="L98" s="83"/>
      <c r="M98" s="83"/>
      <c r="N98" s="82">
        <v>27237.413947000005</v>
      </c>
      <c r="O98" s="83">
        <v>27237.413947000005</v>
      </c>
      <c r="P98" s="83">
        <v>0</v>
      </c>
      <c r="Q98" s="83"/>
      <c r="R98" s="83"/>
      <c r="S98" s="83"/>
      <c r="T98" s="83"/>
      <c r="U98" s="82">
        <v>0</v>
      </c>
      <c r="V98" s="83"/>
      <c r="W98" s="83"/>
      <c r="X98" s="82">
        <v>0</v>
      </c>
      <c r="Y98" s="82"/>
      <c r="Z98" s="82"/>
      <c r="AA98" s="82"/>
      <c r="AB98" s="84">
        <f t="shared" si="4"/>
        <v>96.460013269823293</v>
      </c>
      <c r="AC98" s="84">
        <f t="shared" si="4"/>
        <v>96.460013269823293</v>
      </c>
      <c r="AD98" s="84"/>
      <c r="AE98" s="84"/>
    </row>
    <row r="99" spans="1:31" s="16" customFormat="1" ht="24.75" customHeight="1" x14ac:dyDescent="0.25">
      <c r="A99" s="96" t="s">
        <v>261</v>
      </c>
      <c r="B99" s="97" t="s">
        <v>366</v>
      </c>
      <c r="C99" s="82">
        <v>1704</v>
      </c>
      <c r="D99" s="83">
        <v>1704</v>
      </c>
      <c r="E99" s="83"/>
      <c r="F99" s="83"/>
      <c r="G99" s="83"/>
      <c r="H99" s="83"/>
      <c r="I99" s="83"/>
      <c r="J99" s="83"/>
      <c r="K99" s="82">
        <v>0</v>
      </c>
      <c r="L99" s="83"/>
      <c r="M99" s="83"/>
      <c r="N99" s="82">
        <v>3648.3419999999996</v>
      </c>
      <c r="O99" s="83">
        <v>3648.3419999999996</v>
      </c>
      <c r="P99" s="83">
        <v>0</v>
      </c>
      <c r="Q99" s="83"/>
      <c r="R99" s="83"/>
      <c r="S99" s="83"/>
      <c r="T99" s="83"/>
      <c r="U99" s="82">
        <v>0</v>
      </c>
      <c r="V99" s="83"/>
      <c r="W99" s="83"/>
      <c r="X99" s="82">
        <v>0</v>
      </c>
      <c r="Y99" s="82"/>
      <c r="Z99" s="82"/>
      <c r="AA99" s="82"/>
      <c r="AB99" s="84">
        <f t="shared" si="4"/>
        <v>214.10457746478872</v>
      </c>
      <c r="AC99" s="84">
        <f t="shared" si="4"/>
        <v>214.10457746478872</v>
      </c>
      <c r="AD99" s="84"/>
      <c r="AE99" s="84"/>
    </row>
    <row r="100" spans="1:31" s="16" customFormat="1" ht="24.75" customHeight="1" x14ac:dyDescent="0.25">
      <c r="A100" s="96" t="s">
        <v>263</v>
      </c>
      <c r="B100" s="97" t="s">
        <v>367</v>
      </c>
      <c r="C100" s="82">
        <v>16960</v>
      </c>
      <c r="D100" s="83">
        <v>16960</v>
      </c>
      <c r="E100" s="83"/>
      <c r="F100" s="83"/>
      <c r="G100" s="83"/>
      <c r="H100" s="83"/>
      <c r="I100" s="83"/>
      <c r="J100" s="83"/>
      <c r="K100" s="82">
        <v>0</v>
      </c>
      <c r="L100" s="83"/>
      <c r="M100" s="83"/>
      <c r="N100" s="82">
        <v>13952.163</v>
      </c>
      <c r="O100" s="83">
        <v>13902.163</v>
      </c>
      <c r="P100" s="83">
        <v>0</v>
      </c>
      <c r="Q100" s="83"/>
      <c r="R100" s="83"/>
      <c r="S100" s="83"/>
      <c r="T100" s="83"/>
      <c r="U100" s="82">
        <v>50</v>
      </c>
      <c r="V100" s="83">
        <v>50</v>
      </c>
      <c r="W100" s="83"/>
      <c r="X100" s="82">
        <v>0</v>
      </c>
      <c r="Y100" s="82"/>
      <c r="Z100" s="82"/>
      <c r="AA100" s="82"/>
      <c r="AB100" s="84">
        <f t="shared" si="4"/>
        <v>82.265112028301886</v>
      </c>
      <c r="AC100" s="84">
        <f t="shared" si="4"/>
        <v>81.970300707547182</v>
      </c>
      <c r="AD100" s="84"/>
      <c r="AE100" s="84"/>
    </row>
    <row r="101" spans="1:31" s="16" customFormat="1" ht="24.75" customHeight="1" x14ac:dyDescent="0.25">
      <c r="A101" s="96" t="s">
        <v>265</v>
      </c>
      <c r="B101" s="97" t="s">
        <v>368</v>
      </c>
      <c r="C101" s="82">
        <v>80539</v>
      </c>
      <c r="D101" s="83">
        <v>80539</v>
      </c>
      <c r="E101" s="83"/>
      <c r="F101" s="83"/>
      <c r="G101" s="83"/>
      <c r="H101" s="83"/>
      <c r="I101" s="83"/>
      <c r="J101" s="83"/>
      <c r="K101" s="82">
        <v>0</v>
      </c>
      <c r="L101" s="83"/>
      <c r="M101" s="83"/>
      <c r="N101" s="82">
        <v>157098.47800000003</v>
      </c>
      <c r="O101" s="83">
        <v>157098.47800000003</v>
      </c>
      <c r="P101" s="83">
        <v>0</v>
      </c>
      <c r="Q101" s="83"/>
      <c r="R101" s="83"/>
      <c r="S101" s="83"/>
      <c r="T101" s="83"/>
      <c r="U101" s="82">
        <v>0</v>
      </c>
      <c r="V101" s="83"/>
      <c r="W101" s="83"/>
      <c r="X101" s="82">
        <v>0</v>
      </c>
      <c r="Y101" s="82"/>
      <c r="Z101" s="82"/>
      <c r="AA101" s="82"/>
      <c r="AB101" s="84">
        <f t="shared" si="4"/>
        <v>195.0588882404798</v>
      </c>
      <c r="AC101" s="84">
        <f t="shared" si="4"/>
        <v>195.0588882404798</v>
      </c>
      <c r="AD101" s="84"/>
      <c r="AE101" s="84"/>
    </row>
    <row r="102" spans="1:31" s="16" customFormat="1" ht="24.75" customHeight="1" x14ac:dyDescent="0.25">
      <c r="A102" s="96" t="s">
        <v>267</v>
      </c>
      <c r="B102" s="97" t="s">
        <v>369</v>
      </c>
      <c r="C102" s="82">
        <v>50000</v>
      </c>
      <c r="D102" s="83">
        <v>50000</v>
      </c>
      <c r="E102" s="83"/>
      <c r="F102" s="83"/>
      <c r="G102" s="83"/>
      <c r="H102" s="83"/>
      <c r="I102" s="83"/>
      <c r="J102" s="83"/>
      <c r="K102" s="82">
        <v>0</v>
      </c>
      <c r="L102" s="83"/>
      <c r="M102" s="83"/>
      <c r="N102" s="82">
        <v>118483.125369</v>
      </c>
      <c r="O102" s="83">
        <v>118483.125369</v>
      </c>
      <c r="P102" s="83">
        <v>0</v>
      </c>
      <c r="Q102" s="83"/>
      <c r="R102" s="83"/>
      <c r="S102" s="83"/>
      <c r="T102" s="83"/>
      <c r="U102" s="82">
        <v>0</v>
      </c>
      <c r="V102" s="83"/>
      <c r="W102" s="83"/>
      <c r="X102" s="82">
        <v>0</v>
      </c>
      <c r="Y102" s="82"/>
      <c r="Z102" s="82"/>
      <c r="AA102" s="82"/>
      <c r="AB102" s="84">
        <f t="shared" si="4"/>
        <v>236.96625073800001</v>
      </c>
      <c r="AC102" s="84">
        <f t="shared" si="4"/>
        <v>236.96625073800001</v>
      </c>
      <c r="AD102" s="84"/>
      <c r="AE102" s="84"/>
    </row>
    <row r="103" spans="1:31" s="46" customFormat="1" ht="24.75" customHeight="1" x14ac:dyDescent="0.25">
      <c r="A103" s="96" t="s">
        <v>269</v>
      </c>
      <c r="B103" s="97" t="s">
        <v>370</v>
      </c>
      <c r="C103" s="82">
        <v>14020</v>
      </c>
      <c r="D103" s="83">
        <v>14020</v>
      </c>
      <c r="E103" s="83"/>
      <c r="F103" s="83"/>
      <c r="G103" s="83"/>
      <c r="H103" s="83"/>
      <c r="I103" s="83"/>
      <c r="J103" s="83"/>
      <c r="K103" s="82">
        <v>0</v>
      </c>
      <c r="L103" s="83"/>
      <c r="M103" s="83"/>
      <c r="N103" s="82">
        <v>16281.129782</v>
      </c>
      <c r="O103" s="83">
        <v>16281.129782</v>
      </c>
      <c r="P103" s="83">
        <v>0</v>
      </c>
      <c r="Q103" s="83"/>
      <c r="R103" s="83"/>
      <c r="S103" s="83"/>
      <c r="T103" s="83"/>
      <c r="U103" s="82">
        <v>0</v>
      </c>
      <c r="V103" s="83"/>
      <c r="W103" s="83"/>
      <c r="X103" s="82">
        <v>0</v>
      </c>
      <c r="Y103" s="82"/>
      <c r="Z103" s="82"/>
      <c r="AA103" s="82"/>
      <c r="AB103" s="84">
        <f t="shared" si="4"/>
        <v>116.12788717546363</v>
      </c>
      <c r="AC103" s="84">
        <f t="shared" si="4"/>
        <v>116.12788717546363</v>
      </c>
      <c r="AD103" s="84"/>
      <c r="AE103" s="84"/>
    </row>
    <row r="104" spans="1:31" s="16" customFormat="1" ht="24.75" customHeight="1" x14ac:dyDescent="0.25">
      <c r="A104" s="96" t="s">
        <v>271</v>
      </c>
      <c r="B104" s="97" t="s">
        <v>371</v>
      </c>
      <c r="C104" s="82">
        <v>11000</v>
      </c>
      <c r="D104" s="83">
        <v>11000</v>
      </c>
      <c r="E104" s="83"/>
      <c r="F104" s="83"/>
      <c r="G104" s="83"/>
      <c r="H104" s="83"/>
      <c r="I104" s="83"/>
      <c r="J104" s="83"/>
      <c r="K104" s="82">
        <v>0</v>
      </c>
      <c r="L104" s="83"/>
      <c r="M104" s="83"/>
      <c r="N104" s="82">
        <v>2498.2730000000001</v>
      </c>
      <c r="O104" s="83">
        <v>2498.2730000000001</v>
      </c>
      <c r="P104" s="83">
        <v>0</v>
      </c>
      <c r="Q104" s="83"/>
      <c r="R104" s="83"/>
      <c r="S104" s="83"/>
      <c r="T104" s="83"/>
      <c r="U104" s="82">
        <v>0</v>
      </c>
      <c r="V104" s="83"/>
      <c r="W104" s="83"/>
      <c r="X104" s="82">
        <v>0</v>
      </c>
      <c r="Y104" s="82"/>
      <c r="Z104" s="82"/>
      <c r="AA104" s="82"/>
      <c r="AB104" s="84">
        <f t="shared" si="4"/>
        <v>22.711572727272728</v>
      </c>
      <c r="AC104" s="84">
        <f t="shared" si="4"/>
        <v>22.711572727272728</v>
      </c>
      <c r="AD104" s="84"/>
      <c r="AE104" s="84"/>
    </row>
    <row r="105" spans="1:31" s="16" customFormat="1" ht="24.75" customHeight="1" x14ac:dyDescent="0.25">
      <c r="A105" s="96" t="s">
        <v>273</v>
      </c>
      <c r="B105" s="97" t="s">
        <v>372</v>
      </c>
      <c r="C105" s="82">
        <v>48406</v>
      </c>
      <c r="D105" s="83">
        <v>48406</v>
      </c>
      <c r="E105" s="83"/>
      <c r="F105" s="83"/>
      <c r="G105" s="83"/>
      <c r="H105" s="83"/>
      <c r="I105" s="83"/>
      <c r="J105" s="83"/>
      <c r="K105" s="82">
        <v>0</v>
      </c>
      <c r="L105" s="83"/>
      <c r="M105" s="83"/>
      <c r="N105" s="82">
        <v>12595.988216000002</v>
      </c>
      <c r="O105" s="83">
        <v>12595.988216000002</v>
      </c>
      <c r="P105" s="83">
        <v>0</v>
      </c>
      <c r="Q105" s="83"/>
      <c r="R105" s="83"/>
      <c r="S105" s="83"/>
      <c r="T105" s="83"/>
      <c r="U105" s="82">
        <v>0</v>
      </c>
      <c r="V105" s="83"/>
      <c r="W105" s="83"/>
      <c r="X105" s="82">
        <v>0</v>
      </c>
      <c r="Y105" s="82"/>
      <c r="Z105" s="82"/>
      <c r="AA105" s="82"/>
      <c r="AB105" s="84">
        <f t="shared" si="4"/>
        <v>26.021543230178079</v>
      </c>
      <c r="AC105" s="84">
        <f t="shared" si="4"/>
        <v>26.021543230178079</v>
      </c>
      <c r="AD105" s="84"/>
      <c r="AE105" s="84"/>
    </row>
    <row r="106" spans="1:31" s="16" customFormat="1" ht="24.75" customHeight="1" x14ac:dyDescent="0.25">
      <c r="A106" s="96" t="s">
        <v>274</v>
      </c>
      <c r="B106" s="97" t="s">
        <v>373</v>
      </c>
      <c r="C106" s="82">
        <v>0</v>
      </c>
      <c r="D106" s="83"/>
      <c r="E106" s="83"/>
      <c r="F106" s="83"/>
      <c r="G106" s="83"/>
      <c r="H106" s="83"/>
      <c r="I106" s="83"/>
      <c r="J106" s="83"/>
      <c r="K106" s="82">
        <v>0</v>
      </c>
      <c r="L106" s="83"/>
      <c r="M106" s="83"/>
      <c r="N106" s="82">
        <v>0</v>
      </c>
      <c r="O106" s="83"/>
      <c r="P106" s="83">
        <v>0</v>
      </c>
      <c r="Q106" s="83"/>
      <c r="R106" s="83"/>
      <c r="S106" s="83"/>
      <c r="T106" s="83"/>
      <c r="U106" s="82">
        <v>0</v>
      </c>
      <c r="V106" s="83"/>
      <c r="W106" s="83"/>
      <c r="X106" s="82">
        <v>0</v>
      </c>
      <c r="Y106" s="82"/>
      <c r="Z106" s="82"/>
      <c r="AA106" s="82"/>
      <c r="AB106" s="84">
        <v>0</v>
      </c>
      <c r="AC106" s="84">
        <v>0</v>
      </c>
      <c r="AD106" s="84"/>
      <c r="AE106" s="84"/>
    </row>
    <row r="107" spans="1:31" s="16" customFormat="1" ht="24.75" customHeight="1" x14ac:dyDescent="0.25">
      <c r="A107" s="96" t="s">
        <v>276</v>
      </c>
      <c r="B107" s="97" t="s">
        <v>374</v>
      </c>
      <c r="C107" s="82">
        <v>0</v>
      </c>
      <c r="D107" s="83">
        <v>0</v>
      </c>
      <c r="E107" s="83"/>
      <c r="F107" s="83"/>
      <c r="G107" s="83"/>
      <c r="H107" s="83"/>
      <c r="I107" s="83"/>
      <c r="J107" s="83"/>
      <c r="K107" s="82">
        <v>0</v>
      </c>
      <c r="L107" s="83"/>
      <c r="M107" s="83"/>
      <c r="N107" s="82">
        <v>78548.58759000001</v>
      </c>
      <c r="O107" s="83">
        <v>78548.58759000001</v>
      </c>
      <c r="P107" s="83">
        <v>0</v>
      </c>
      <c r="Q107" s="83"/>
      <c r="R107" s="83"/>
      <c r="S107" s="83"/>
      <c r="T107" s="83"/>
      <c r="U107" s="82">
        <v>0</v>
      </c>
      <c r="V107" s="83"/>
      <c r="W107" s="83"/>
      <c r="X107" s="82">
        <v>0</v>
      </c>
      <c r="Y107" s="82"/>
      <c r="Z107" s="82"/>
      <c r="AA107" s="82"/>
      <c r="AB107" s="84"/>
      <c r="AC107" s="84"/>
      <c r="AD107" s="84"/>
      <c r="AE107" s="84"/>
    </row>
    <row r="108" spans="1:31" s="16" customFormat="1" ht="24.75" customHeight="1" x14ac:dyDescent="0.25">
      <c r="A108" s="96">
        <v>11</v>
      </c>
      <c r="B108" s="97" t="s">
        <v>375</v>
      </c>
      <c r="C108" s="82">
        <v>0</v>
      </c>
      <c r="D108" s="83"/>
      <c r="E108" s="83"/>
      <c r="F108" s="83"/>
      <c r="G108" s="83"/>
      <c r="H108" s="83"/>
      <c r="I108" s="83"/>
      <c r="J108" s="83"/>
      <c r="K108" s="82">
        <v>0</v>
      </c>
      <c r="L108" s="83"/>
      <c r="M108" s="83"/>
      <c r="N108" s="82"/>
      <c r="O108" s="83"/>
      <c r="P108" s="83">
        <v>0</v>
      </c>
      <c r="Q108" s="83"/>
      <c r="R108" s="83"/>
      <c r="S108" s="83"/>
      <c r="T108" s="83"/>
      <c r="U108" s="82"/>
      <c r="V108" s="83"/>
      <c r="W108" s="83"/>
      <c r="X108" s="82"/>
      <c r="Y108" s="82"/>
      <c r="Z108" s="82"/>
      <c r="AA108" s="82"/>
      <c r="AB108" s="84"/>
      <c r="AC108" s="84"/>
      <c r="AD108" s="84"/>
      <c r="AE108" s="84"/>
    </row>
    <row r="109" spans="1:31" s="16" customFormat="1" ht="24.75" customHeight="1" x14ac:dyDescent="0.25">
      <c r="A109" s="94" t="s">
        <v>25</v>
      </c>
      <c r="B109" s="98" t="s">
        <v>376</v>
      </c>
      <c r="C109" s="76">
        <v>61001</v>
      </c>
      <c r="D109" s="99"/>
      <c r="E109" s="99">
        <v>61001</v>
      </c>
      <c r="F109" s="99">
        <v>0</v>
      </c>
      <c r="G109" s="99"/>
      <c r="H109" s="99"/>
      <c r="I109" s="99"/>
      <c r="J109" s="99"/>
      <c r="K109" s="76"/>
      <c r="L109" s="99"/>
      <c r="M109" s="99"/>
      <c r="N109" s="76"/>
      <c r="O109" s="99"/>
      <c r="P109" s="99">
        <v>0</v>
      </c>
      <c r="Q109" s="99"/>
      <c r="R109" s="99"/>
      <c r="S109" s="99"/>
      <c r="T109" s="99"/>
      <c r="U109" s="76"/>
      <c r="V109" s="99"/>
      <c r="W109" s="99"/>
      <c r="X109" s="76"/>
      <c r="Y109" s="76"/>
      <c r="Z109" s="76"/>
      <c r="AA109" s="76"/>
      <c r="AB109" s="84"/>
      <c r="AC109" s="84"/>
      <c r="AD109" s="84">
        <f t="shared" si="3"/>
        <v>0</v>
      </c>
      <c r="AE109" s="84"/>
    </row>
    <row r="110" spans="1:31" s="16" customFormat="1" ht="24.75" customHeight="1" x14ac:dyDescent="0.25">
      <c r="A110" s="94"/>
      <c r="B110" s="97" t="s">
        <v>377</v>
      </c>
      <c r="C110" s="82">
        <v>6000</v>
      </c>
      <c r="D110" s="83"/>
      <c r="E110" s="83">
        <v>6000</v>
      </c>
      <c r="F110" s="83"/>
      <c r="G110" s="99"/>
      <c r="H110" s="99"/>
      <c r="I110" s="99"/>
      <c r="J110" s="99"/>
      <c r="K110" s="76"/>
      <c r="L110" s="99"/>
      <c r="M110" s="99"/>
      <c r="N110" s="76"/>
      <c r="O110" s="99"/>
      <c r="P110" s="99">
        <v>0</v>
      </c>
      <c r="Q110" s="99"/>
      <c r="R110" s="99"/>
      <c r="S110" s="99"/>
      <c r="T110" s="99"/>
      <c r="U110" s="76"/>
      <c r="V110" s="99"/>
      <c r="W110" s="99"/>
      <c r="X110" s="76"/>
      <c r="Y110" s="76"/>
      <c r="Z110" s="76"/>
      <c r="AA110" s="76"/>
      <c r="AB110" s="84"/>
      <c r="AC110" s="84"/>
      <c r="AD110" s="84">
        <f t="shared" si="3"/>
        <v>0</v>
      </c>
      <c r="AE110" s="84"/>
    </row>
    <row r="111" spans="1:31" s="46" customFormat="1" x14ac:dyDescent="0.25">
      <c r="A111" s="94"/>
      <c r="B111" s="97" t="s">
        <v>378</v>
      </c>
      <c r="C111" s="82">
        <v>5000</v>
      </c>
      <c r="D111" s="83"/>
      <c r="E111" s="83">
        <v>5000</v>
      </c>
      <c r="F111" s="83"/>
      <c r="G111" s="99"/>
      <c r="H111" s="99"/>
      <c r="I111" s="99"/>
      <c r="J111" s="99"/>
      <c r="K111" s="76"/>
      <c r="L111" s="99"/>
      <c r="M111" s="99"/>
      <c r="N111" s="76"/>
      <c r="O111" s="99"/>
      <c r="P111" s="99">
        <v>0</v>
      </c>
      <c r="Q111" s="99"/>
      <c r="R111" s="99"/>
      <c r="S111" s="99"/>
      <c r="T111" s="99"/>
      <c r="U111" s="76"/>
      <c r="V111" s="99"/>
      <c r="W111" s="99"/>
      <c r="X111" s="76"/>
      <c r="Y111" s="76"/>
      <c r="Z111" s="76"/>
      <c r="AA111" s="76"/>
      <c r="AB111" s="84"/>
      <c r="AC111" s="84"/>
      <c r="AD111" s="84">
        <f t="shared" si="3"/>
        <v>0</v>
      </c>
      <c r="AE111" s="84"/>
    </row>
    <row r="112" spans="1:31" s="46" customFormat="1" ht="33.75" customHeight="1" x14ac:dyDescent="0.25">
      <c r="A112" s="94"/>
      <c r="B112" s="97" t="s">
        <v>379</v>
      </c>
      <c r="C112" s="82">
        <v>50001</v>
      </c>
      <c r="D112" s="83"/>
      <c r="E112" s="83">
        <v>50001</v>
      </c>
      <c r="F112" s="83"/>
      <c r="G112" s="99"/>
      <c r="H112" s="99"/>
      <c r="I112" s="99"/>
      <c r="J112" s="99"/>
      <c r="K112" s="76"/>
      <c r="L112" s="99"/>
      <c r="M112" s="99"/>
      <c r="N112" s="76"/>
      <c r="O112" s="99"/>
      <c r="P112" s="99">
        <v>0</v>
      </c>
      <c r="Q112" s="99"/>
      <c r="R112" s="99"/>
      <c r="S112" s="99"/>
      <c r="T112" s="99"/>
      <c r="U112" s="76"/>
      <c r="V112" s="99"/>
      <c r="W112" s="99"/>
      <c r="X112" s="76"/>
      <c r="Y112" s="76"/>
      <c r="Z112" s="76"/>
      <c r="AA112" s="76"/>
      <c r="AB112" s="84"/>
      <c r="AC112" s="84"/>
      <c r="AD112" s="84">
        <f t="shared" si="3"/>
        <v>0</v>
      </c>
      <c r="AE112" s="84"/>
    </row>
    <row r="113" spans="1:38" s="46" customFormat="1" ht="34.5" customHeight="1" x14ac:dyDescent="0.25">
      <c r="A113" s="100" t="s">
        <v>29</v>
      </c>
      <c r="B113" s="101" t="s">
        <v>644</v>
      </c>
      <c r="C113" s="76">
        <v>2200</v>
      </c>
      <c r="D113" s="99"/>
      <c r="E113" s="99"/>
      <c r="F113" s="99"/>
      <c r="G113" s="99"/>
      <c r="H113" s="99"/>
      <c r="I113" s="99">
        <v>2200</v>
      </c>
      <c r="J113" s="99"/>
      <c r="K113" s="76">
        <v>0</v>
      </c>
      <c r="L113" s="99"/>
      <c r="M113" s="99"/>
      <c r="N113" s="76">
        <v>9699.7659999999996</v>
      </c>
      <c r="O113" s="99"/>
      <c r="P113" s="99">
        <v>0</v>
      </c>
      <c r="Q113" s="99"/>
      <c r="R113" s="99"/>
      <c r="S113" s="99">
        <v>9699.7659999999996</v>
      </c>
      <c r="T113" s="99"/>
      <c r="U113" s="76">
        <v>0</v>
      </c>
      <c r="V113" s="99"/>
      <c r="W113" s="99"/>
      <c r="X113" s="76">
        <v>0</v>
      </c>
      <c r="Y113" s="99"/>
      <c r="Z113" s="99"/>
      <c r="AA113" s="99"/>
      <c r="AB113" s="84">
        <f t="shared" si="4"/>
        <v>440.89845454545451</v>
      </c>
      <c r="AC113" s="84"/>
      <c r="AD113" s="84"/>
      <c r="AE113" s="84"/>
      <c r="AI113" s="28"/>
      <c r="AJ113" s="28"/>
      <c r="AK113" s="28"/>
      <c r="AL113" s="28"/>
    </row>
    <row r="114" spans="1:38" s="46" customFormat="1" ht="37.5" customHeight="1" x14ac:dyDescent="0.25">
      <c r="A114" s="100" t="s">
        <v>56</v>
      </c>
      <c r="B114" s="101" t="s">
        <v>380</v>
      </c>
      <c r="C114" s="76">
        <v>1000</v>
      </c>
      <c r="D114" s="99"/>
      <c r="E114" s="99"/>
      <c r="F114" s="99"/>
      <c r="G114" s="99"/>
      <c r="H114" s="99"/>
      <c r="I114" s="99"/>
      <c r="J114" s="76">
        <v>1000</v>
      </c>
      <c r="K114" s="76">
        <v>0</v>
      </c>
      <c r="L114" s="99"/>
      <c r="M114" s="99"/>
      <c r="N114" s="76">
        <v>24154</v>
      </c>
      <c r="O114" s="99"/>
      <c r="P114" s="99">
        <v>0</v>
      </c>
      <c r="Q114" s="99"/>
      <c r="R114" s="99"/>
      <c r="S114" s="99"/>
      <c r="T114" s="99">
        <v>24154</v>
      </c>
      <c r="U114" s="76">
        <v>0</v>
      </c>
      <c r="V114" s="99"/>
      <c r="W114" s="99"/>
      <c r="X114" s="76">
        <v>0</v>
      </c>
      <c r="Y114" s="99"/>
      <c r="Z114" s="99"/>
      <c r="AA114" s="99"/>
      <c r="AB114" s="84">
        <f t="shared" si="4"/>
        <v>2415.4</v>
      </c>
      <c r="AC114" s="84"/>
      <c r="AD114" s="84"/>
      <c r="AE114" s="84"/>
      <c r="AI114" s="28"/>
      <c r="AJ114" s="28"/>
      <c r="AK114" s="28"/>
      <c r="AL114" s="28"/>
    </row>
    <row r="115" spans="1:38" s="46" customFormat="1" ht="39.75" customHeight="1" x14ac:dyDescent="0.25">
      <c r="A115" s="100" t="s">
        <v>73</v>
      </c>
      <c r="B115" s="101" t="s">
        <v>381</v>
      </c>
      <c r="C115" s="76">
        <v>67330</v>
      </c>
      <c r="D115" s="99"/>
      <c r="E115" s="289"/>
      <c r="F115" s="99"/>
      <c r="G115" s="99"/>
      <c r="H115" s="99"/>
      <c r="I115" s="99"/>
      <c r="J115" s="99">
        <v>67330</v>
      </c>
      <c r="K115" s="76">
        <v>0</v>
      </c>
      <c r="L115" s="99"/>
      <c r="M115" s="99"/>
      <c r="N115" s="76">
        <v>0</v>
      </c>
      <c r="O115" s="99"/>
      <c r="P115" s="99">
        <v>0</v>
      </c>
      <c r="Q115" s="99"/>
      <c r="R115" s="99"/>
      <c r="S115" s="99"/>
      <c r="T115" s="99"/>
      <c r="U115" s="76">
        <v>0</v>
      </c>
      <c r="V115" s="99"/>
      <c r="W115" s="99"/>
      <c r="X115" s="76">
        <v>0</v>
      </c>
      <c r="Y115" s="99"/>
      <c r="Z115" s="99"/>
      <c r="AA115" s="99"/>
      <c r="AB115" s="84">
        <f t="shared" si="4"/>
        <v>0</v>
      </c>
      <c r="AC115" s="84"/>
      <c r="AD115" s="84"/>
      <c r="AE115" s="84"/>
      <c r="AI115" s="28"/>
      <c r="AJ115" s="28"/>
      <c r="AK115" s="28"/>
      <c r="AL115" s="28"/>
    </row>
    <row r="116" spans="1:38" s="46" customFormat="1" ht="39.75" customHeight="1" x14ac:dyDescent="0.25">
      <c r="A116" s="100" t="s">
        <v>74</v>
      </c>
      <c r="B116" s="101" t="s">
        <v>645</v>
      </c>
      <c r="C116" s="76">
        <v>1010785</v>
      </c>
      <c r="D116" s="99"/>
      <c r="E116" s="289"/>
      <c r="F116" s="99"/>
      <c r="G116" s="99"/>
      <c r="H116" s="99"/>
      <c r="I116" s="99"/>
      <c r="J116" s="99">
        <v>1010785</v>
      </c>
      <c r="K116" s="76">
        <v>0</v>
      </c>
      <c r="L116" s="99"/>
      <c r="M116" s="99"/>
      <c r="N116" s="76">
        <v>0</v>
      </c>
      <c r="O116" s="99"/>
      <c r="P116" s="99">
        <v>0</v>
      </c>
      <c r="Q116" s="99"/>
      <c r="R116" s="99"/>
      <c r="S116" s="99"/>
      <c r="T116" s="99"/>
      <c r="U116" s="76">
        <v>0</v>
      </c>
      <c r="V116" s="99"/>
      <c r="W116" s="99"/>
      <c r="X116" s="76">
        <v>0</v>
      </c>
      <c r="Y116" s="99"/>
      <c r="Z116" s="99"/>
      <c r="AA116" s="99"/>
      <c r="AB116" s="84">
        <f t="shared" si="4"/>
        <v>0</v>
      </c>
      <c r="AC116" s="84"/>
      <c r="AD116" s="84"/>
      <c r="AE116" s="84"/>
      <c r="AI116" s="28"/>
      <c r="AJ116" s="28"/>
      <c r="AK116" s="28"/>
      <c r="AL116" s="28"/>
    </row>
    <row r="117" spans="1:38" s="28" customFormat="1" ht="31.5" x14ac:dyDescent="0.25">
      <c r="A117" s="100" t="s">
        <v>383</v>
      </c>
      <c r="B117" s="101" t="s">
        <v>544</v>
      </c>
      <c r="C117" s="76">
        <v>0</v>
      </c>
      <c r="D117" s="99"/>
      <c r="E117" s="289"/>
      <c r="F117" s="99"/>
      <c r="G117" s="99"/>
      <c r="H117" s="99"/>
      <c r="I117" s="99"/>
      <c r="J117" s="99"/>
      <c r="K117" s="76"/>
      <c r="L117" s="99"/>
      <c r="M117" s="99"/>
      <c r="N117" s="76">
        <v>11000</v>
      </c>
      <c r="O117" s="99"/>
      <c r="P117" s="99">
        <v>0</v>
      </c>
      <c r="Q117" s="99"/>
      <c r="R117" s="99"/>
      <c r="S117" s="99"/>
      <c r="T117" s="99">
        <v>11000</v>
      </c>
      <c r="U117" s="76"/>
      <c r="V117" s="99"/>
      <c r="W117" s="99"/>
      <c r="X117" s="76"/>
      <c r="Y117" s="99"/>
      <c r="Z117" s="99"/>
      <c r="AA117" s="99"/>
      <c r="AB117" s="84"/>
      <c r="AC117" s="84"/>
      <c r="AD117" s="84"/>
      <c r="AE117" s="84"/>
      <c r="AF117" s="237"/>
    </row>
    <row r="118" spans="1:38" s="28" customFormat="1" ht="31.5" customHeight="1" x14ac:dyDescent="0.25">
      <c r="A118" s="100" t="s">
        <v>384</v>
      </c>
      <c r="B118" s="101" t="s">
        <v>382</v>
      </c>
      <c r="C118" s="76">
        <v>222208</v>
      </c>
      <c r="D118" s="99"/>
      <c r="E118" s="99"/>
      <c r="F118" s="99"/>
      <c r="G118" s="99"/>
      <c r="H118" s="99"/>
      <c r="I118" s="99"/>
      <c r="J118" s="76">
        <v>222208</v>
      </c>
      <c r="K118" s="76">
        <v>0</v>
      </c>
      <c r="L118" s="99"/>
      <c r="M118" s="99"/>
      <c r="N118" s="76">
        <v>0</v>
      </c>
      <c r="O118" s="99"/>
      <c r="P118" s="99">
        <v>0</v>
      </c>
      <c r="Q118" s="99"/>
      <c r="R118" s="99"/>
      <c r="S118" s="99"/>
      <c r="T118" s="99"/>
      <c r="U118" s="76">
        <v>0</v>
      </c>
      <c r="V118" s="99"/>
      <c r="W118" s="99"/>
      <c r="X118" s="76"/>
      <c r="Y118" s="99"/>
      <c r="Z118" s="99"/>
      <c r="AA118" s="99"/>
      <c r="AB118" s="84">
        <f t="shared" si="4"/>
        <v>0</v>
      </c>
      <c r="AC118" s="84"/>
      <c r="AD118" s="84"/>
      <c r="AE118" s="84"/>
      <c r="AF118" s="237"/>
    </row>
    <row r="119" spans="1:38" ht="36" customHeight="1" x14ac:dyDescent="0.25">
      <c r="A119" s="100" t="s">
        <v>509</v>
      </c>
      <c r="B119" s="101" t="s">
        <v>102</v>
      </c>
      <c r="C119" s="76">
        <v>0</v>
      </c>
      <c r="D119" s="99"/>
      <c r="E119" s="99"/>
      <c r="F119" s="99"/>
      <c r="G119" s="99"/>
      <c r="H119" s="99"/>
      <c r="I119" s="99"/>
      <c r="J119" s="99"/>
      <c r="K119" s="76">
        <v>0</v>
      </c>
      <c r="L119" s="99"/>
      <c r="M119" s="99"/>
      <c r="N119" s="76">
        <v>1955445.8067010001</v>
      </c>
      <c r="O119" s="99"/>
      <c r="P119" s="99">
        <v>0</v>
      </c>
      <c r="Q119" s="99"/>
      <c r="R119" s="99"/>
      <c r="S119" s="99"/>
      <c r="T119" s="99"/>
      <c r="U119" s="76">
        <v>0</v>
      </c>
      <c r="V119" s="99"/>
      <c r="W119" s="99"/>
      <c r="X119" s="99">
        <v>1955445.8067010001</v>
      </c>
      <c r="Y119" s="99"/>
      <c r="Z119" s="99"/>
      <c r="AA119" s="99"/>
      <c r="AB119" s="84"/>
      <c r="AC119" s="84"/>
      <c r="AD119" s="84"/>
      <c r="AE119" s="84"/>
    </row>
    <row r="120" spans="1:38" x14ac:dyDescent="0.25">
      <c r="A120" s="106" t="s">
        <v>545</v>
      </c>
      <c r="B120" s="107" t="s">
        <v>226</v>
      </c>
      <c r="C120" s="108">
        <v>0</v>
      </c>
      <c r="D120" s="109"/>
      <c r="E120" s="109"/>
      <c r="F120" s="109"/>
      <c r="G120" s="109"/>
      <c r="H120" s="109"/>
      <c r="I120" s="109"/>
      <c r="J120" s="109"/>
      <c r="K120" s="108">
        <v>0</v>
      </c>
      <c r="L120" s="109"/>
      <c r="M120" s="109"/>
      <c r="N120" s="108">
        <v>318370.00949199998</v>
      </c>
      <c r="O120" s="109"/>
      <c r="P120" s="109">
        <v>0</v>
      </c>
      <c r="Q120" s="109"/>
      <c r="R120" s="109"/>
      <c r="S120" s="109"/>
      <c r="T120" s="109"/>
      <c r="U120" s="108">
        <v>0</v>
      </c>
      <c r="V120" s="109"/>
      <c r="W120" s="109"/>
      <c r="X120" s="109"/>
      <c r="Y120" s="109"/>
      <c r="Z120" s="109"/>
      <c r="AA120" s="109">
        <v>318370.00949199998</v>
      </c>
      <c r="AB120" s="110"/>
      <c r="AC120" s="110"/>
      <c r="AD120" s="110"/>
      <c r="AE120" s="110"/>
    </row>
  </sheetData>
  <sortState xmlns:xlrd2="http://schemas.microsoft.com/office/spreadsheetml/2017/richdata2" ref="A33:AD255">
    <sortCondition ref="B33:B255"/>
  </sortState>
  <mergeCells count="32">
    <mergeCell ref="AC1:AE1"/>
    <mergeCell ref="AB8:AB9"/>
    <mergeCell ref="AC8:AC9"/>
    <mergeCell ref="AD8:AD9"/>
    <mergeCell ref="AE8:AE9"/>
    <mergeCell ref="A4:AE4"/>
    <mergeCell ref="AB6:AC6"/>
    <mergeCell ref="AD6:AE6"/>
    <mergeCell ref="A7:A9"/>
    <mergeCell ref="C8:C9"/>
    <mergeCell ref="D8:D9"/>
    <mergeCell ref="E8:E9"/>
    <mergeCell ref="T8:T9"/>
    <mergeCell ref="U8:W8"/>
    <mergeCell ref="X8:X9"/>
    <mergeCell ref="Y8:Z8"/>
    <mergeCell ref="N7:X7"/>
    <mergeCell ref="A3:AE3"/>
    <mergeCell ref="C7:M7"/>
    <mergeCell ref="AB7:AE7"/>
    <mergeCell ref="K8:M8"/>
    <mergeCell ref="J8:J9"/>
    <mergeCell ref="G8:H8"/>
    <mergeCell ref="F8:F9"/>
    <mergeCell ref="B7:B9"/>
    <mergeCell ref="I8:I9"/>
    <mergeCell ref="AA8:AA9"/>
    <mergeCell ref="N8:N9"/>
    <mergeCell ref="O8:O9"/>
    <mergeCell ref="P8:P9"/>
    <mergeCell ref="Q8:R8"/>
    <mergeCell ref="S8:S9"/>
  </mergeCells>
  <phoneticPr fontId="61" type="noConversion"/>
  <dataValidations count="6">
    <dataValidation allowBlank="1" showInputMessage="1" showErrorMessage="1" prompt="Theo TT 343 BTC các lĩnh vực  Công an tỉnh, Bộ chỉ huy quân sự tỉnh; Bộ chỉ huy biên phòng tỉnh, Ban Chỉ đạo phân giới, cắm mổc tỉnh (Việt nam - Lào), Ban chỉ đạo phân giới, cắm mổc tỉnh (Viêt nam - Cam Pu Chia) không công khai QT" sqref="C65388 IY65388 SU65388 ACQ65388 AMM65388 AWI65388 BGE65388 BQA65388 BZW65388 CJS65388 CTO65388 DDK65388 DNG65388 DXC65388 EGY65388 EQU65388 FAQ65388 FKM65388 FUI65388 GEE65388 GOA65388 GXW65388 HHS65388 HRO65388 IBK65388 ILG65388 IVC65388 JEY65388 JOU65388 JYQ65388 KIM65388 KSI65388 LCE65388 LMA65388 LVW65388 MFS65388 MPO65388 MZK65388 NJG65388 NTC65388 OCY65388 OMU65388 OWQ65388 PGM65388 PQI65388 QAE65388 QKA65388 QTW65388 RDS65388 RNO65388 RXK65388 SHG65388 SRC65388 TAY65388 TKU65388 TUQ65388 UEM65388 UOI65388 UYE65388 VIA65388 VRW65388 WBS65388 WLO65388 WVK65388 C130924 IY130924 SU130924 ACQ130924 AMM130924 AWI130924 BGE130924 BQA130924 BZW130924 CJS130924 CTO130924 DDK130924 DNG130924 DXC130924 EGY130924 EQU130924 FAQ130924 FKM130924 FUI130924 GEE130924 GOA130924 GXW130924 HHS130924 HRO130924 IBK130924 ILG130924 IVC130924 JEY130924 JOU130924 JYQ130924 KIM130924 KSI130924 LCE130924 LMA130924 LVW130924 MFS130924 MPO130924 MZK130924 NJG130924 NTC130924 OCY130924 OMU130924 OWQ130924 PGM130924 PQI130924 QAE130924 QKA130924 QTW130924 RDS130924 RNO130924 RXK130924 SHG130924 SRC130924 TAY130924 TKU130924 TUQ130924 UEM130924 UOI130924 UYE130924 VIA130924 VRW130924 WBS130924 WLO130924 WVK130924 C196460 IY196460 SU196460 ACQ196460 AMM196460 AWI196460 BGE196460 BQA196460 BZW196460 CJS196460 CTO196460 DDK196460 DNG196460 DXC196460 EGY196460 EQU196460 FAQ196460 FKM196460 FUI196460 GEE196460 GOA196460 GXW196460 HHS196460 HRO196460 IBK196460 ILG196460 IVC196460 JEY196460 JOU196460 JYQ196460 KIM196460 KSI196460 LCE196460 LMA196460 LVW196460 MFS196460 MPO196460 MZK196460 NJG196460 NTC196460 OCY196460 OMU196460 OWQ196460 PGM196460 PQI196460 QAE196460 QKA196460 QTW196460 RDS196460 RNO196460 RXK196460 SHG196460 SRC196460 TAY196460 TKU196460 TUQ196460 UEM196460 UOI196460 UYE196460 VIA196460 VRW196460 WBS196460 WLO196460 WVK196460 C261996 IY261996 SU261996 ACQ261996 AMM261996 AWI261996 BGE261996 BQA261996 BZW261996 CJS261996 CTO261996 DDK261996 DNG261996 DXC261996 EGY261996 EQU261996 FAQ261996 FKM261996 FUI261996 GEE261996 GOA261996 GXW261996 HHS261996 HRO261996 IBK261996 ILG261996 IVC261996 JEY261996 JOU261996 JYQ261996 KIM261996 KSI261996 LCE261996 LMA261996 LVW261996 MFS261996 MPO261996 MZK261996 NJG261996 NTC261996 OCY261996 OMU261996 OWQ261996 PGM261996 PQI261996 QAE261996 QKA261996 QTW261996 RDS261996 RNO261996 RXK261996 SHG261996 SRC261996 TAY261996 TKU261996 TUQ261996 UEM261996 UOI261996 UYE261996 VIA261996 VRW261996 WBS261996 WLO261996 WVK261996 C327532 IY327532 SU327532 ACQ327532 AMM327532 AWI327532 BGE327532 BQA327532 BZW327532 CJS327532 CTO327532 DDK327532 DNG327532 DXC327532 EGY327532 EQU327532 FAQ327532 FKM327532 FUI327532 GEE327532 GOA327532 GXW327532 HHS327532 HRO327532 IBK327532 ILG327532 IVC327532 JEY327532 JOU327532 JYQ327532 KIM327532 KSI327532 LCE327532 LMA327532 LVW327532 MFS327532 MPO327532 MZK327532 NJG327532 NTC327532 OCY327532 OMU327532 OWQ327532 PGM327532 PQI327532 QAE327532 QKA327532 QTW327532 RDS327532 RNO327532 RXK327532 SHG327532 SRC327532 TAY327532 TKU327532 TUQ327532 UEM327532 UOI327532 UYE327532 VIA327532 VRW327532 WBS327532 WLO327532 WVK327532 C393068 IY393068 SU393068 ACQ393068 AMM393068 AWI393068 BGE393068 BQA393068 BZW393068 CJS393068 CTO393068 DDK393068 DNG393068 DXC393068 EGY393068 EQU393068 FAQ393068 FKM393068 FUI393068 GEE393068 GOA393068 GXW393068 HHS393068 HRO393068 IBK393068 ILG393068 IVC393068 JEY393068 JOU393068 JYQ393068 KIM393068 KSI393068 LCE393068 LMA393068 LVW393068 MFS393068 MPO393068 MZK393068 NJG393068 NTC393068 OCY393068 OMU393068 OWQ393068 PGM393068 PQI393068 QAE393068 QKA393068 QTW393068 RDS393068 RNO393068 RXK393068 SHG393068 SRC393068 TAY393068 TKU393068 TUQ393068 UEM393068 UOI393068 UYE393068 VIA393068 VRW393068 WBS393068 WLO393068 WVK393068 C458604 IY458604 SU458604 ACQ458604 AMM458604 AWI458604 BGE458604 BQA458604 BZW458604 CJS458604 CTO458604 DDK458604 DNG458604 DXC458604 EGY458604 EQU458604 FAQ458604 FKM458604 FUI458604 GEE458604 GOA458604 GXW458604 HHS458604 HRO458604 IBK458604 ILG458604 IVC458604 JEY458604 JOU458604 JYQ458604 KIM458604 KSI458604 LCE458604 LMA458604 LVW458604 MFS458604 MPO458604 MZK458604 NJG458604 NTC458604 OCY458604 OMU458604 OWQ458604 PGM458604 PQI458604 QAE458604 QKA458604 QTW458604 RDS458604 RNO458604 RXK458604 SHG458604 SRC458604 TAY458604 TKU458604 TUQ458604 UEM458604 UOI458604 UYE458604 VIA458604 VRW458604 WBS458604 WLO458604 WVK458604 C524140 IY524140 SU524140 ACQ524140 AMM524140 AWI524140 BGE524140 BQA524140 BZW524140 CJS524140 CTO524140 DDK524140 DNG524140 DXC524140 EGY524140 EQU524140 FAQ524140 FKM524140 FUI524140 GEE524140 GOA524140 GXW524140 HHS524140 HRO524140 IBK524140 ILG524140 IVC524140 JEY524140 JOU524140 JYQ524140 KIM524140 KSI524140 LCE524140 LMA524140 LVW524140 MFS524140 MPO524140 MZK524140 NJG524140 NTC524140 OCY524140 OMU524140 OWQ524140 PGM524140 PQI524140 QAE524140 QKA524140 QTW524140 RDS524140 RNO524140 RXK524140 SHG524140 SRC524140 TAY524140 TKU524140 TUQ524140 UEM524140 UOI524140 UYE524140 VIA524140 VRW524140 WBS524140 WLO524140 WVK524140 C589676 IY589676 SU589676 ACQ589676 AMM589676 AWI589676 BGE589676 BQA589676 BZW589676 CJS589676 CTO589676 DDK589676 DNG589676 DXC589676 EGY589676 EQU589676 FAQ589676 FKM589676 FUI589676 GEE589676 GOA589676 GXW589676 HHS589676 HRO589676 IBK589676 ILG589676 IVC589676 JEY589676 JOU589676 JYQ589676 KIM589676 KSI589676 LCE589676 LMA589676 LVW589676 MFS589676 MPO589676 MZK589676 NJG589676 NTC589676 OCY589676 OMU589676 OWQ589676 PGM589676 PQI589676 QAE589676 QKA589676 QTW589676 RDS589676 RNO589676 RXK589676 SHG589676 SRC589676 TAY589676 TKU589676 TUQ589676 UEM589676 UOI589676 UYE589676 VIA589676 VRW589676 WBS589676 WLO589676 WVK589676 C655212 IY655212 SU655212 ACQ655212 AMM655212 AWI655212 BGE655212 BQA655212 BZW655212 CJS655212 CTO655212 DDK655212 DNG655212 DXC655212 EGY655212 EQU655212 FAQ655212 FKM655212 FUI655212 GEE655212 GOA655212 GXW655212 HHS655212 HRO655212 IBK655212 ILG655212 IVC655212 JEY655212 JOU655212 JYQ655212 KIM655212 KSI655212 LCE655212 LMA655212 LVW655212 MFS655212 MPO655212 MZK655212 NJG655212 NTC655212 OCY655212 OMU655212 OWQ655212 PGM655212 PQI655212 QAE655212 QKA655212 QTW655212 RDS655212 RNO655212 RXK655212 SHG655212 SRC655212 TAY655212 TKU655212 TUQ655212 UEM655212 UOI655212 UYE655212 VIA655212 VRW655212 WBS655212 WLO655212 WVK655212 C720748 IY720748 SU720748 ACQ720748 AMM720748 AWI720748 BGE720748 BQA720748 BZW720748 CJS720748 CTO720748 DDK720748 DNG720748 DXC720748 EGY720748 EQU720748 FAQ720748 FKM720748 FUI720748 GEE720748 GOA720748 GXW720748 HHS720748 HRO720748 IBK720748 ILG720748 IVC720748 JEY720748 JOU720748 JYQ720748 KIM720748 KSI720748 LCE720748 LMA720748 LVW720748 MFS720748 MPO720748 MZK720748 NJG720748 NTC720748 OCY720748 OMU720748 OWQ720748 PGM720748 PQI720748 QAE720748 QKA720748 QTW720748 RDS720748 RNO720748 RXK720748 SHG720748 SRC720748 TAY720748 TKU720748 TUQ720748 UEM720748 UOI720748 UYE720748 VIA720748 VRW720748 WBS720748 WLO720748 WVK720748 C786284 IY786284 SU786284 ACQ786284 AMM786284 AWI786284 BGE786284 BQA786284 BZW786284 CJS786284 CTO786284 DDK786284 DNG786284 DXC786284 EGY786284 EQU786284 FAQ786284 FKM786284 FUI786284 GEE786284 GOA786284 GXW786284 HHS786284 HRO786284 IBK786284 ILG786284 IVC786284 JEY786284 JOU786284 JYQ786284 KIM786284 KSI786284 LCE786284 LMA786284 LVW786284 MFS786284 MPO786284 MZK786284 NJG786284 NTC786284 OCY786284 OMU786284 OWQ786284 PGM786284 PQI786284 QAE786284 QKA786284 QTW786284 RDS786284 RNO786284 RXK786284 SHG786284 SRC786284 TAY786284 TKU786284 TUQ786284 UEM786284 UOI786284 UYE786284 VIA786284 VRW786284 WBS786284 WLO786284 WVK786284 C851820 IY851820 SU851820 ACQ851820 AMM851820 AWI851820 BGE851820 BQA851820 BZW851820 CJS851820 CTO851820 DDK851820 DNG851820 DXC851820 EGY851820 EQU851820 FAQ851820 FKM851820 FUI851820 GEE851820 GOA851820 GXW851820 HHS851820 HRO851820 IBK851820 ILG851820 IVC851820 JEY851820 JOU851820 JYQ851820 KIM851820 KSI851820 LCE851820 LMA851820 LVW851820 MFS851820 MPO851820 MZK851820 NJG851820 NTC851820 OCY851820 OMU851820 OWQ851820 PGM851820 PQI851820 QAE851820 QKA851820 QTW851820 RDS851820 RNO851820 RXK851820 SHG851820 SRC851820 TAY851820 TKU851820 TUQ851820 UEM851820 UOI851820 UYE851820 VIA851820 VRW851820 WBS851820 WLO851820 WVK851820 C917356 IY917356 SU917356 ACQ917356 AMM917356 AWI917356 BGE917356 BQA917356 BZW917356 CJS917356 CTO917356 DDK917356 DNG917356 DXC917356 EGY917356 EQU917356 FAQ917356 FKM917356 FUI917356 GEE917356 GOA917356 GXW917356 HHS917356 HRO917356 IBK917356 ILG917356 IVC917356 JEY917356 JOU917356 JYQ917356 KIM917356 KSI917356 LCE917356 LMA917356 LVW917356 MFS917356 MPO917356 MZK917356 NJG917356 NTC917356 OCY917356 OMU917356 OWQ917356 PGM917356 PQI917356 QAE917356 QKA917356 QTW917356 RDS917356 RNO917356 RXK917356 SHG917356 SRC917356 TAY917356 TKU917356 TUQ917356 UEM917356 UOI917356 UYE917356 VIA917356 VRW917356 WBS917356 WLO917356 WVK917356 C982892 IY982892 SU982892 ACQ982892 AMM982892 AWI982892 BGE982892 BQA982892 BZW982892 CJS982892 CTO982892 DDK982892 DNG982892 DXC982892 EGY982892 EQU982892 FAQ982892 FKM982892 FUI982892 GEE982892 GOA982892 GXW982892 HHS982892 HRO982892 IBK982892 ILG982892 IVC982892 JEY982892 JOU982892 JYQ982892 KIM982892 KSI982892 LCE982892 LMA982892 LVW982892 MFS982892 MPO982892 MZK982892 NJG982892 NTC982892 OCY982892 OMU982892 OWQ982892 PGM982892 PQI982892 QAE982892 QKA982892 QTW982892 RDS982892 RNO982892 RXK982892 SHG982892 SRC982892 TAY982892 TKU982892 TUQ982892 UEM982892 UOI982892 UYE982892 VIA982892 VRW982892 WBS982892 WLO982892 WVK982892 C1048428 IY1048428 SU1048428 ACQ1048428 AMM1048428 AWI1048428 BGE1048428 BQA1048428 BZW1048428 CJS1048428 CTO1048428 DDK1048428 DNG1048428 DXC1048428 EGY1048428 EQU1048428 FAQ1048428 FKM1048428 FUI1048428 GEE1048428 GOA1048428 GXW1048428 HHS1048428 HRO1048428 IBK1048428 ILG1048428 IVC1048428 JEY1048428 JOU1048428 JYQ1048428 KIM1048428 KSI1048428 LCE1048428 LMA1048428 LVW1048428 MFS1048428 MPO1048428 MZK1048428 NJG1048428 NTC1048428 OCY1048428 OMU1048428 OWQ1048428 PGM1048428 PQI1048428 QAE1048428 QKA1048428 QTW1048428 RDS1048428 RNO1048428 RXK1048428 SHG1048428 SRC1048428 TAY1048428 TKU1048428 TUQ1048428 UEM1048428 UOI1048428 UYE1048428 VIA1048428 VRW1048428 WBS1048428 WLO1048428 WVK1048428" xr:uid="{00000000-0002-0000-0400-000000000000}"/>
    <dataValidation allowBlank="1" showInputMessage="1" showErrorMessage="1" prompt="Bao gồm: tăng 300tr. đồng Ghi thu ghi chi quyền sử dụng đất khai thác quỹ đất khu phía Nam cầu Đăk bla (Thường xuyên)" sqref="WVZ983109 JN73 TJ73 ADF73 ANB73 AWX73 BGT73 BQP73 CAL73 CKH73 CUD73 DDZ73 DNV73 DXR73 EHN73 ERJ73 FBF73 FLB73 FUX73 GET73 GOP73 GYL73 HIH73 HSD73 IBZ73 ILV73 IVR73 JFN73 JPJ73 JZF73 KJB73 KSX73 LCT73 LMP73 LWL73 MGH73 MQD73 MZZ73 NJV73 NTR73 ODN73 ONJ73 OXF73 PHB73 PQX73 QAT73 QKP73 QUL73 REH73 ROD73 RXZ73 SHV73 SRR73 TBN73 TLJ73 TVF73 UFB73 UOX73 UYT73 VIP73 VSL73 WCH73 WMD73 WVZ73 R65605 JN65605 TJ65605 ADF65605 ANB65605 AWX65605 BGT65605 BQP65605 CAL65605 CKH65605 CUD65605 DDZ65605 DNV65605 DXR65605 EHN65605 ERJ65605 FBF65605 FLB65605 FUX65605 GET65605 GOP65605 GYL65605 HIH65605 HSD65605 IBZ65605 ILV65605 IVR65605 JFN65605 JPJ65605 JZF65605 KJB65605 KSX65605 LCT65605 LMP65605 LWL65605 MGH65605 MQD65605 MZZ65605 NJV65605 NTR65605 ODN65605 ONJ65605 OXF65605 PHB65605 PQX65605 QAT65605 QKP65605 QUL65605 REH65605 ROD65605 RXZ65605 SHV65605 SRR65605 TBN65605 TLJ65605 TVF65605 UFB65605 UOX65605 UYT65605 VIP65605 VSL65605 WCH65605 WMD65605 WVZ65605 R131141 JN131141 TJ131141 ADF131141 ANB131141 AWX131141 BGT131141 BQP131141 CAL131141 CKH131141 CUD131141 DDZ131141 DNV131141 DXR131141 EHN131141 ERJ131141 FBF131141 FLB131141 FUX131141 GET131141 GOP131141 GYL131141 HIH131141 HSD131141 IBZ131141 ILV131141 IVR131141 JFN131141 JPJ131141 JZF131141 KJB131141 KSX131141 LCT131141 LMP131141 LWL131141 MGH131141 MQD131141 MZZ131141 NJV131141 NTR131141 ODN131141 ONJ131141 OXF131141 PHB131141 PQX131141 QAT131141 QKP131141 QUL131141 REH131141 ROD131141 RXZ131141 SHV131141 SRR131141 TBN131141 TLJ131141 TVF131141 UFB131141 UOX131141 UYT131141 VIP131141 VSL131141 WCH131141 WMD131141 WVZ131141 R196677 JN196677 TJ196677 ADF196677 ANB196677 AWX196677 BGT196677 BQP196677 CAL196677 CKH196677 CUD196677 DDZ196677 DNV196677 DXR196677 EHN196677 ERJ196677 FBF196677 FLB196677 FUX196677 GET196677 GOP196677 GYL196677 HIH196677 HSD196677 IBZ196677 ILV196677 IVR196677 JFN196677 JPJ196677 JZF196677 KJB196677 KSX196677 LCT196677 LMP196677 LWL196677 MGH196677 MQD196677 MZZ196677 NJV196677 NTR196677 ODN196677 ONJ196677 OXF196677 PHB196677 PQX196677 QAT196677 QKP196677 QUL196677 REH196677 ROD196677 RXZ196677 SHV196677 SRR196677 TBN196677 TLJ196677 TVF196677 UFB196677 UOX196677 UYT196677 VIP196677 VSL196677 WCH196677 WMD196677 WVZ196677 R262213 JN262213 TJ262213 ADF262213 ANB262213 AWX262213 BGT262213 BQP262213 CAL262213 CKH262213 CUD262213 DDZ262213 DNV262213 DXR262213 EHN262213 ERJ262213 FBF262213 FLB262213 FUX262213 GET262213 GOP262213 GYL262213 HIH262213 HSD262213 IBZ262213 ILV262213 IVR262213 JFN262213 JPJ262213 JZF262213 KJB262213 KSX262213 LCT262213 LMP262213 LWL262213 MGH262213 MQD262213 MZZ262213 NJV262213 NTR262213 ODN262213 ONJ262213 OXF262213 PHB262213 PQX262213 QAT262213 QKP262213 QUL262213 REH262213 ROD262213 RXZ262213 SHV262213 SRR262213 TBN262213 TLJ262213 TVF262213 UFB262213 UOX262213 UYT262213 VIP262213 VSL262213 WCH262213 WMD262213 WVZ262213 R327749 JN327749 TJ327749 ADF327749 ANB327749 AWX327749 BGT327749 BQP327749 CAL327749 CKH327749 CUD327749 DDZ327749 DNV327749 DXR327749 EHN327749 ERJ327749 FBF327749 FLB327749 FUX327749 GET327749 GOP327749 GYL327749 HIH327749 HSD327749 IBZ327749 ILV327749 IVR327749 JFN327749 JPJ327749 JZF327749 KJB327749 KSX327749 LCT327749 LMP327749 LWL327749 MGH327749 MQD327749 MZZ327749 NJV327749 NTR327749 ODN327749 ONJ327749 OXF327749 PHB327749 PQX327749 QAT327749 QKP327749 QUL327749 REH327749 ROD327749 RXZ327749 SHV327749 SRR327749 TBN327749 TLJ327749 TVF327749 UFB327749 UOX327749 UYT327749 VIP327749 VSL327749 WCH327749 WMD327749 WVZ327749 R393285 JN393285 TJ393285 ADF393285 ANB393285 AWX393285 BGT393285 BQP393285 CAL393285 CKH393285 CUD393285 DDZ393285 DNV393285 DXR393285 EHN393285 ERJ393285 FBF393285 FLB393285 FUX393285 GET393285 GOP393285 GYL393285 HIH393285 HSD393285 IBZ393285 ILV393285 IVR393285 JFN393285 JPJ393285 JZF393285 KJB393285 KSX393285 LCT393285 LMP393285 LWL393285 MGH393285 MQD393285 MZZ393285 NJV393285 NTR393285 ODN393285 ONJ393285 OXF393285 PHB393285 PQX393285 QAT393285 QKP393285 QUL393285 REH393285 ROD393285 RXZ393285 SHV393285 SRR393285 TBN393285 TLJ393285 TVF393285 UFB393285 UOX393285 UYT393285 VIP393285 VSL393285 WCH393285 WMD393285 WVZ393285 R458821 JN458821 TJ458821 ADF458821 ANB458821 AWX458821 BGT458821 BQP458821 CAL458821 CKH458821 CUD458821 DDZ458821 DNV458821 DXR458821 EHN458821 ERJ458821 FBF458821 FLB458821 FUX458821 GET458821 GOP458821 GYL458821 HIH458821 HSD458821 IBZ458821 ILV458821 IVR458821 JFN458821 JPJ458821 JZF458821 KJB458821 KSX458821 LCT458821 LMP458821 LWL458821 MGH458821 MQD458821 MZZ458821 NJV458821 NTR458821 ODN458821 ONJ458821 OXF458821 PHB458821 PQX458821 QAT458821 QKP458821 QUL458821 REH458821 ROD458821 RXZ458821 SHV458821 SRR458821 TBN458821 TLJ458821 TVF458821 UFB458821 UOX458821 UYT458821 VIP458821 VSL458821 WCH458821 WMD458821 WVZ458821 R524357 JN524357 TJ524357 ADF524357 ANB524357 AWX524357 BGT524357 BQP524357 CAL524357 CKH524357 CUD524357 DDZ524357 DNV524357 DXR524357 EHN524357 ERJ524357 FBF524357 FLB524357 FUX524357 GET524357 GOP524357 GYL524357 HIH524357 HSD524357 IBZ524357 ILV524357 IVR524357 JFN524357 JPJ524357 JZF524357 KJB524357 KSX524357 LCT524357 LMP524357 LWL524357 MGH524357 MQD524357 MZZ524357 NJV524357 NTR524357 ODN524357 ONJ524357 OXF524357 PHB524357 PQX524357 QAT524357 QKP524357 QUL524357 REH524357 ROD524357 RXZ524357 SHV524357 SRR524357 TBN524357 TLJ524357 TVF524357 UFB524357 UOX524357 UYT524357 VIP524357 VSL524357 WCH524357 WMD524357 WVZ524357 R589893 JN589893 TJ589893 ADF589893 ANB589893 AWX589893 BGT589893 BQP589893 CAL589893 CKH589893 CUD589893 DDZ589893 DNV589893 DXR589893 EHN589893 ERJ589893 FBF589893 FLB589893 FUX589893 GET589893 GOP589893 GYL589893 HIH589893 HSD589893 IBZ589893 ILV589893 IVR589893 JFN589893 JPJ589893 JZF589893 KJB589893 KSX589893 LCT589893 LMP589893 LWL589893 MGH589893 MQD589893 MZZ589893 NJV589893 NTR589893 ODN589893 ONJ589893 OXF589893 PHB589893 PQX589893 QAT589893 QKP589893 QUL589893 REH589893 ROD589893 RXZ589893 SHV589893 SRR589893 TBN589893 TLJ589893 TVF589893 UFB589893 UOX589893 UYT589893 VIP589893 VSL589893 WCH589893 WMD589893 WVZ589893 R655429 JN655429 TJ655429 ADF655429 ANB655429 AWX655429 BGT655429 BQP655429 CAL655429 CKH655429 CUD655429 DDZ655429 DNV655429 DXR655429 EHN655429 ERJ655429 FBF655429 FLB655429 FUX655429 GET655429 GOP655429 GYL655429 HIH655429 HSD655429 IBZ655429 ILV655429 IVR655429 JFN655429 JPJ655429 JZF655429 KJB655429 KSX655429 LCT655429 LMP655429 LWL655429 MGH655429 MQD655429 MZZ655429 NJV655429 NTR655429 ODN655429 ONJ655429 OXF655429 PHB655429 PQX655429 QAT655429 QKP655429 QUL655429 REH655429 ROD655429 RXZ655429 SHV655429 SRR655429 TBN655429 TLJ655429 TVF655429 UFB655429 UOX655429 UYT655429 VIP655429 VSL655429 WCH655429 WMD655429 WVZ655429 R720965 JN720965 TJ720965 ADF720965 ANB720965 AWX720965 BGT720965 BQP720965 CAL720965 CKH720965 CUD720965 DDZ720965 DNV720965 DXR720965 EHN720965 ERJ720965 FBF720965 FLB720965 FUX720965 GET720965 GOP720965 GYL720965 HIH720965 HSD720965 IBZ720965 ILV720965 IVR720965 JFN720965 JPJ720965 JZF720965 KJB720965 KSX720965 LCT720965 LMP720965 LWL720965 MGH720965 MQD720965 MZZ720965 NJV720965 NTR720965 ODN720965 ONJ720965 OXF720965 PHB720965 PQX720965 QAT720965 QKP720965 QUL720965 REH720965 ROD720965 RXZ720965 SHV720965 SRR720965 TBN720965 TLJ720965 TVF720965 UFB720965 UOX720965 UYT720965 VIP720965 VSL720965 WCH720965 WMD720965 WVZ720965 R786501 JN786501 TJ786501 ADF786501 ANB786501 AWX786501 BGT786501 BQP786501 CAL786501 CKH786501 CUD786501 DDZ786501 DNV786501 DXR786501 EHN786501 ERJ786501 FBF786501 FLB786501 FUX786501 GET786501 GOP786501 GYL786501 HIH786501 HSD786501 IBZ786501 ILV786501 IVR786501 JFN786501 JPJ786501 JZF786501 KJB786501 KSX786501 LCT786501 LMP786501 LWL786501 MGH786501 MQD786501 MZZ786501 NJV786501 NTR786501 ODN786501 ONJ786501 OXF786501 PHB786501 PQX786501 QAT786501 QKP786501 QUL786501 REH786501 ROD786501 RXZ786501 SHV786501 SRR786501 TBN786501 TLJ786501 TVF786501 UFB786501 UOX786501 UYT786501 VIP786501 VSL786501 WCH786501 WMD786501 WVZ786501 R852037 JN852037 TJ852037 ADF852037 ANB852037 AWX852037 BGT852037 BQP852037 CAL852037 CKH852037 CUD852037 DDZ852037 DNV852037 DXR852037 EHN852037 ERJ852037 FBF852037 FLB852037 FUX852037 GET852037 GOP852037 GYL852037 HIH852037 HSD852037 IBZ852037 ILV852037 IVR852037 JFN852037 JPJ852037 JZF852037 KJB852037 KSX852037 LCT852037 LMP852037 LWL852037 MGH852037 MQD852037 MZZ852037 NJV852037 NTR852037 ODN852037 ONJ852037 OXF852037 PHB852037 PQX852037 QAT852037 QKP852037 QUL852037 REH852037 ROD852037 RXZ852037 SHV852037 SRR852037 TBN852037 TLJ852037 TVF852037 UFB852037 UOX852037 UYT852037 VIP852037 VSL852037 WCH852037 WMD852037 WVZ852037 R917573 JN917573 TJ917573 ADF917573 ANB917573 AWX917573 BGT917573 BQP917573 CAL917573 CKH917573 CUD917573 DDZ917573 DNV917573 DXR917573 EHN917573 ERJ917573 FBF917573 FLB917573 FUX917573 GET917573 GOP917573 GYL917573 HIH917573 HSD917573 IBZ917573 ILV917573 IVR917573 JFN917573 JPJ917573 JZF917573 KJB917573 KSX917573 LCT917573 LMP917573 LWL917573 MGH917573 MQD917573 MZZ917573 NJV917573 NTR917573 ODN917573 ONJ917573 OXF917573 PHB917573 PQX917573 QAT917573 QKP917573 QUL917573 REH917573 ROD917573 RXZ917573 SHV917573 SRR917573 TBN917573 TLJ917573 TVF917573 UFB917573 UOX917573 UYT917573 VIP917573 VSL917573 WCH917573 WMD917573 WVZ917573 R983109 JN983109 TJ983109 ADF983109 ANB983109 AWX983109 BGT983109 BQP983109 CAL983109 CKH983109 CUD983109 DDZ983109 DNV983109 DXR983109 EHN983109 ERJ983109 FBF983109 FLB983109 FUX983109 GET983109 GOP983109 GYL983109 HIH983109 HSD983109 IBZ983109 ILV983109 IVR983109 JFN983109 JPJ983109 JZF983109 KJB983109 KSX983109 LCT983109 LMP983109 LWL983109 MGH983109 MQD983109 MZZ983109 NJV983109 NTR983109 ODN983109 ONJ983109 OXF983109 PHB983109 PQX983109 QAT983109 QKP983109 QUL983109 REH983109 ROD983109 RXZ983109 SHV983109 SRR983109 TBN983109 TLJ983109 TVF983109 UFB983109 UOX983109 UYT983109 VIP983109 VSL983109 WCH983109 WMD983109 R71" xr:uid="{00000000-0002-0000-0400-000001000000}"/>
    <dataValidation allowBlank="1" showInputMessage="1" showErrorMessage="1" prompt="Bao gồm Văn phòng điều phối CT MTQG NTM" sqref="WVU983052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M15" xr:uid="{00000000-0002-0000-0400-000002000000}"/>
    <dataValidation allowBlank="1" showInputMessage="1" showErrorMessage="1" prompt="Bao gồm cả BS cân đối để khớp với tổng chi NS tỉnh" sqref="WWB983152 JP115 TL115 ADH115 AND115 AWZ115 BGV115 BQR115 CAN115 CKJ115 CUF115 DEB115 DNX115 DXT115 EHP115 ERL115 FBH115 FLD115 FUZ115 GEV115 GOR115 GYN115 HIJ115 HSF115 ICB115 ILX115 IVT115 JFP115 JPL115 JZH115 KJD115 KSZ115 LCV115 LMR115 LWN115 MGJ115 MQF115 NAB115 NJX115 NTT115 ODP115 ONL115 OXH115 PHD115 PQZ115 QAV115 QKR115 QUN115 REJ115 ROF115 RYB115 SHX115 SRT115 TBP115 TLL115 TVH115 UFD115 UOZ115 UYV115 VIR115 VSN115 WCJ115 WMF115 WWB115 T65648 JP65648 TL65648 ADH65648 AND65648 AWZ65648 BGV65648 BQR65648 CAN65648 CKJ65648 CUF65648 DEB65648 DNX65648 DXT65648 EHP65648 ERL65648 FBH65648 FLD65648 FUZ65648 GEV65648 GOR65648 GYN65648 HIJ65648 HSF65648 ICB65648 ILX65648 IVT65648 JFP65648 JPL65648 JZH65648 KJD65648 KSZ65648 LCV65648 LMR65648 LWN65648 MGJ65648 MQF65648 NAB65648 NJX65648 NTT65648 ODP65648 ONL65648 OXH65648 PHD65648 PQZ65648 QAV65648 QKR65648 QUN65648 REJ65648 ROF65648 RYB65648 SHX65648 SRT65648 TBP65648 TLL65648 TVH65648 UFD65648 UOZ65648 UYV65648 VIR65648 VSN65648 WCJ65648 WMF65648 WWB65648 T131184 JP131184 TL131184 ADH131184 AND131184 AWZ131184 BGV131184 BQR131184 CAN131184 CKJ131184 CUF131184 DEB131184 DNX131184 DXT131184 EHP131184 ERL131184 FBH131184 FLD131184 FUZ131184 GEV131184 GOR131184 GYN131184 HIJ131184 HSF131184 ICB131184 ILX131184 IVT131184 JFP131184 JPL131184 JZH131184 KJD131184 KSZ131184 LCV131184 LMR131184 LWN131184 MGJ131184 MQF131184 NAB131184 NJX131184 NTT131184 ODP131184 ONL131184 OXH131184 PHD131184 PQZ131184 QAV131184 QKR131184 QUN131184 REJ131184 ROF131184 RYB131184 SHX131184 SRT131184 TBP131184 TLL131184 TVH131184 UFD131184 UOZ131184 UYV131184 VIR131184 VSN131184 WCJ131184 WMF131184 WWB131184 T196720 JP196720 TL196720 ADH196720 AND196720 AWZ196720 BGV196720 BQR196720 CAN196720 CKJ196720 CUF196720 DEB196720 DNX196720 DXT196720 EHP196720 ERL196720 FBH196720 FLD196720 FUZ196720 GEV196720 GOR196720 GYN196720 HIJ196720 HSF196720 ICB196720 ILX196720 IVT196720 JFP196720 JPL196720 JZH196720 KJD196720 KSZ196720 LCV196720 LMR196720 LWN196720 MGJ196720 MQF196720 NAB196720 NJX196720 NTT196720 ODP196720 ONL196720 OXH196720 PHD196720 PQZ196720 QAV196720 QKR196720 QUN196720 REJ196720 ROF196720 RYB196720 SHX196720 SRT196720 TBP196720 TLL196720 TVH196720 UFD196720 UOZ196720 UYV196720 VIR196720 VSN196720 WCJ196720 WMF196720 WWB196720 T262256 JP262256 TL262256 ADH262256 AND262256 AWZ262256 BGV262256 BQR262256 CAN262256 CKJ262256 CUF262256 DEB262256 DNX262256 DXT262256 EHP262256 ERL262256 FBH262256 FLD262256 FUZ262256 GEV262256 GOR262256 GYN262256 HIJ262256 HSF262256 ICB262256 ILX262256 IVT262256 JFP262256 JPL262256 JZH262256 KJD262256 KSZ262256 LCV262256 LMR262256 LWN262256 MGJ262256 MQF262256 NAB262256 NJX262256 NTT262256 ODP262256 ONL262256 OXH262256 PHD262256 PQZ262256 QAV262256 QKR262256 QUN262256 REJ262256 ROF262256 RYB262256 SHX262256 SRT262256 TBP262256 TLL262256 TVH262256 UFD262256 UOZ262256 UYV262256 VIR262256 VSN262256 WCJ262256 WMF262256 WWB262256 T327792 JP327792 TL327792 ADH327792 AND327792 AWZ327792 BGV327792 BQR327792 CAN327792 CKJ327792 CUF327792 DEB327792 DNX327792 DXT327792 EHP327792 ERL327792 FBH327792 FLD327792 FUZ327792 GEV327792 GOR327792 GYN327792 HIJ327792 HSF327792 ICB327792 ILX327792 IVT327792 JFP327792 JPL327792 JZH327792 KJD327792 KSZ327792 LCV327792 LMR327792 LWN327792 MGJ327792 MQF327792 NAB327792 NJX327792 NTT327792 ODP327792 ONL327792 OXH327792 PHD327792 PQZ327792 QAV327792 QKR327792 QUN327792 REJ327792 ROF327792 RYB327792 SHX327792 SRT327792 TBP327792 TLL327792 TVH327792 UFD327792 UOZ327792 UYV327792 VIR327792 VSN327792 WCJ327792 WMF327792 WWB327792 T393328 JP393328 TL393328 ADH393328 AND393328 AWZ393328 BGV393328 BQR393328 CAN393328 CKJ393328 CUF393328 DEB393328 DNX393328 DXT393328 EHP393328 ERL393328 FBH393328 FLD393328 FUZ393328 GEV393328 GOR393328 GYN393328 HIJ393328 HSF393328 ICB393328 ILX393328 IVT393328 JFP393328 JPL393328 JZH393328 KJD393328 KSZ393328 LCV393328 LMR393328 LWN393328 MGJ393328 MQF393328 NAB393328 NJX393328 NTT393328 ODP393328 ONL393328 OXH393328 PHD393328 PQZ393328 QAV393328 QKR393328 QUN393328 REJ393328 ROF393328 RYB393328 SHX393328 SRT393328 TBP393328 TLL393328 TVH393328 UFD393328 UOZ393328 UYV393328 VIR393328 VSN393328 WCJ393328 WMF393328 WWB393328 T458864 JP458864 TL458864 ADH458864 AND458864 AWZ458864 BGV458864 BQR458864 CAN458864 CKJ458864 CUF458864 DEB458864 DNX458864 DXT458864 EHP458864 ERL458864 FBH458864 FLD458864 FUZ458864 GEV458864 GOR458864 GYN458864 HIJ458864 HSF458864 ICB458864 ILX458864 IVT458864 JFP458864 JPL458864 JZH458864 KJD458864 KSZ458864 LCV458864 LMR458864 LWN458864 MGJ458864 MQF458864 NAB458864 NJX458864 NTT458864 ODP458864 ONL458864 OXH458864 PHD458864 PQZ458864 QAV458864 QKR458864 QUN458864 REJ458864 ROF458864 RYB458864 SHX458864 SRT458864 TBP458864 TLL458864 TVH458864 UFD458864 UOZ458864 UYV458864 VIR458864 VSN458864 WCJ458864 WMF458864 WWB458864 T524400 JP524400 TL524400 ADH524400 AND524400 AWZ524400 BGV524400 BQR524400 CAN524400 CKJ524400 CUF524400 DEB524400 DNX524400 DXT524400 EHP524400 ERL524400 FBH524400 FLD524400 FUZ524400 GEV524400 GOR524400 GYN524400 HIJ524400 HSF524400 ICB524400 ILX524400 IVT524400 JFP524400 JPL524400 JZH524400 KJD524400 KSZ524400 LCV524400 LMR524400 LWN524400 MGJ524400 MQF524400 NAB524400 NJX524400 NTT524400 ODP524400 ONL524400 OXH524400 PHD524400 PQZ524400 QAV524400 QKR524400 QUN524400 REJ524400 ROF524400 RYB524400 SHX524400 SRT524400 TBP524400 TLL524400 TVH524400 UFD524400 UOZ524400 UYV524400 VIR524400 VSN524400 WCJ524400 WMF524400 WWB524400 T589936 JP589936 TL589936 ADH589936 AND589936 AWZ589936 BGV589936 BQR589936 CAN589936 CKJ589936 CUF589936 DEB589936 DNX589936 DXT589936 EHP589936 ERL589936 FBH589936 FLD589936 FUZ589936 GEV589936 GOR589936 GYN589936 HIJ589936 HSF589936 ICB589936 ILX589936 IVT589936 JFP589936 JPL589936 JZH589936 KJD589936 KSZ589936 LCV589936 LMR589936 LWN589936 MGJ589936 MQF589936 NAB589936 NJX589936 NTT589936 ODP589936 ONL589936 OXH589936 PHD589936 PQZ589936 QAV589936 QKR589936 QUN589936 REJ589936 ROF589936 RYB589936 SHX589936 SRT589936 TBP589936 TLL589936 TVH589936 UFD589936 UOZ589936 UYV589936 VIR589936 VSN589936 WCJ589936 WMF589936 WWB589936 T655472 JP655472 TL655472 ADH655472 AND655472 AWZ655472 BGV655472 BQR655472 CAN655472 CKJ655472 CUF655472 DEB655472 DNX655472 DXT655472 EHP655472 ERL655472 FBH655472 FLD655472 FUZ655472 GEV655472 GOR655472 GYN655472 HIJ655472 HSF655472 ICB655472 ILX655472 IVT655472 JFP655472 JPL655472 JZH655472 KJD655472 KSZ655472 LCV655472 LMR655472 LWN655472 MGJ655472 MQF655472 NAB655472 NJX655472 NTT655472 ODP655472 ONL655472 OXH655472 PHD655472 PQZ655472 QAV655472 QKR655472 QUN655472 REJ655472 ROF655472 RYB655472 SHX655472 SRT655472 TBP655472 TLL655472 TVH655472 UFD655472 UOZ655472 UYV655472 VIR655472 VSN655472 WCJ655472 WMF655472 WWB655472 T721008 JP721008 TL721008 ADH721008 AND721008 AWZ721008 BGV721008 BQR721008 CAN721008 CKJ721008 CUF721008 DEB721008 DNX721008 DXT721008 EHP721008 ERL721008 FBH721008 FLD721008 FUZ721008 GEV721008 GOR721008 GYN721008 HIJ721008 HSF721008 ICB721008 ILX721008 IVT721008 JFP721008 JPL721008 JZH721008 KJD721008 KSZ721008 LCV721008 LMR721008 LWN721008 MGJ721008 MQF721008 NAB721008 NJX721008 NTT721008 ODP721008 ONL721008 OXH721008 PHD721008 PQZ721008 QAV721008 QKR721008 QUN721008 REJ721008 ROF721008 RYB721008 SHX721008 SRT721008 TBP721008 TLL721008 TVH721008 UFD721008 UOZ721008 UYV721008 VIR721008 VSN721008 WCJ721008 WMF721008 WWB721008 T786544 JP786544 TL786544 ADH786544 AND786544 AWZ786544 BGV786544 BQR786544 CAN786544 CKJ786544 CUF786544 DEB786544 DNX786544 DXT786544 EHP786544 ERL786544 FBH786544 FLD786544 FUZ786544 GEV786544 GOR786544 GYN786544 HIJ786544 HSF786544 ICB786544 ILX786544 IVT786544 JFP786544 JPL786544 JZH786544 KJD786544 KSZ786544 LCV786544 LMR786544 LWN786544 MGJ786544 MQF786544 NAB786544 NJX786544 NTT786544 ODP786544 ONL786544 OXH786544 PHD786544 PQZ786544 QAV786544 QKR786544 QUN786544 REJ786544 ROF786544 RYB786544 SHX786544 SRT786544 TBP786544 TLL786544 TVH786544 UFD786544 UOZ786544 UYV786544 VIR786544 VSN786544 WCJ786544 WMF786544 WWB786544 T852080 JP852080 TL852080 ADH852080 AND852080 AWZ852080 BGV852080 BQR852080 CAN852080 CKJ852080 CUF852080 DEB852080 DNX852080 DXT852080 EHP852080 ERL852080 FBH852080 FLD852080 FUZ852080 GEV852080 GOR852080 GYN852080 HIJ852080 HSF852080 ICB852080 ILX852080 IVT852080 JFP852080 JPL852080 JZH852080 KJD852080 KSZ852080 LCV852080 LMR852080 LWN852080 MGJ852080 MQF852080 NAB852080 NJX852080 NTT852080 ODP852080 ONL852080 OXH852080 PHD852080 PQZ852080 QAV852080 QKR852080 QUN852080 REJ852080 ROF852080 RYB852080 SHX852080 SRT852080 TBP852080 TLL852080 TVH852080 UFD852080 UOZ852080 UYV852080 VIR852080 VSN852080 WCJ852080 WMF852080 WWB852080 T917616 JP917616 TL917616 ADH917616 AND917616 AWZ917616 BGV917616 BQR917616 CAN917616 CKJ917616 CUF917616 DEB917616 DNX917616 DXT917616 EHP917616 ERL917616 FBH917616 FLD917616 FUZ917616 GEV917616 GOR917616 GYN917616 HIJ917616 HSF917616 ICB917616 ILX917616 IVT917616 JFP917616 JPL917616 JZH917616 KJD917616 KSZ917616 LCV917616 LMR917616 LWN917616 MGJ917616 MQF917616 NAB917616 NJX917616 NTT917616 ODP917616 ONL917616 OXH917616 PHD917616 PQZ917616 QAV917616 QKR917616 QUN917616 REJ917616 ROF917616 RYB917616 SHX917616 SRT917616 TBP917616 TLL917616 TVH917616 UFD917616 UOZ917616 UYV917616 VIR917616 VSN917616 WCJ917616 WMF917616 WWB917616 T983152 JP983152 TL983152 ADH983152 AND983152 AWZ983152 BGV983152 BQR983152 CAN983152 CKJ983152 CUF983152 DEB983152 DNX983152 DXT983152 EHP983152 ERL983152 FBH983152 FLD983152 FUZ983152 GEV983152 GOR983152 GYN983152 HIJ983152 HSF983152 ICB983152 ILX983152 IVT983152 JFP983152 JPL983152 JZH983152 KJD983152 KSZ983152 LCV983152 LMR983152 LWN983152 MGJ983152 MQF983152 NAB983152 NJX983152 NTT983152 ODP983152 ONL983152 OXH983152 PHD983152 PQZ983152 QAV983152 QKR983152 QUN983152 REJ983152 ROF983152 RYB983152 SHX983152 SRT983152 TBP983152 TLL983152 TVH983152 UFD983152 UOZ983152 UYV983152 VIR983152 VSN983152 WCJ983152 WMF983152 T118" xr:uid="{00000000-0002-0000-0400-000003000000}"/>
    <dataValidation allowBlank="1" showInputMessage="1" showErrorMessage="1" prompt="Bộ Quốc phòng_x000a_" sqref="WVY983081 JM59 TI59 ADE59 ANA59 AWW59 BGS59 BQO59 CAK59 CKG59 CUC59 DDY59 DNU59 DXQ59 EHM59 ERI59 FBE59 FLA59 FUW59 GES59 GOO59 GYK59 HIG59 HSC59 IBY59 ILU59 IVQ59 JFM59 JPI59 JZE59 KJA59 KSW59 LCS59 LMO59 LWK59 MGG59 MQC59 MZY59 NJU59 NTQ59 ODM59 ONI59 OXE59 PHA59 PQW59 QAS59 QKO59 QUK59 REG59 ROC59 RXY59 SHU59 SRQ59 TBM59 TLI59 TVE59 UFA59 UOW59 UYS59 VIO59 VSK59 WCG59 WMC59 WVY59 Q65577 JM65577 TI65577 ADE65577 ANA65577 AWW65577 BGS65577 BQO65577 CAK65577 CKG65577 CUC65577 DDY65577 DNU65577 DXQ65577 EHM65577 ERI65577 FBE65577 FLA65577 FUW65577 GES65577 GOO65577 GYK65577 HIG65577 HSC65577 IBY65577 ILU65577 IVQ65577 JFM65577 JPI65577 JZE65577 KJA65577 KSW65577 LCS65577 LMO65577 LWK65577 MGG65577 MQC65577 MZY65577 NJU65577 NTQ65577 ODM65577 ONI65577 OXE65577 PHA65577 PQW65577 QAS65577 QKO65577 QUK65577 REG65577 ROC65577 RXY65577 SHU65577 SRQ65577 TBM65577 TLI65577 TVE65577 UFA65577 UOW65577 UYS65577 VIO65577 VSK65577 WCG65577 WMC65577 WVY65577 Q131113 JM131113 TI131113 ADE131113 ANA131113 AWW131113 BGS131113 BQO131113 CAK131113 CKG131113 CUC131113 DDY131113 DNU131113 DXQ131113 EHM131113 ERI131113 FBE131113 FLA131113 FUW131113 GES131113 GOO131113 GYK131113 HIG131113 HSC131113 IBY131113 ILU131113 IVQ131113 JFM131113 JPI131113 JZE131113 KJA131113 KSW131113 LCS131113 LMO131113 LWK131113 MGG131113 MQC131113 MZY131113 NJU131113 NTQ131113 ODM131113 ONI131113 OXE131113 PHA131113 PQW131113 QAS131113 QKO131113 QUK131113 REG131113 ROC131113 RXY131113 SHU131113 SRQ131113 TBM131113 TLI131113 TVE131113 UFA131113 UOW131113 UYS131113 VIO131113 VSK131113 WCG131113 WMC131113 WVY131113 Q196649 JM196649 TI196649 ADE196649 ANA196649 AWW196649 BGS196649 BQO196649 CAK196649 CKG196649 CUC196649 DDY196649 DNU196649 DXQ196649 EHM196649 ERI196649 FBE196649 FLA196649 FUW196649 GES196649 GOO196649 GYK196649 HIG196649 HSC196649 IBY196649 ILU196649 IVQ196649 JFM196649 JPI196649 JZE196649 KJA196649 KSW196649 LCS196649 LMO196649 LWK196649 MGG196649 MQC196649 MZY196649 NJU196649 NTQ196649 ODM196649 ONI196649 OXE196649 PHA196649 PQW196649 QAS196649 QKO196649 QUK196649 REG196649 ROC196649 RXY196649 SHU196649 SRQ196649 TBM196649 TLI196649 TVE196649 UFA196649 UOW196649 UYS196649 VIO196649 VSK196649 WCG196649 WMC196649 WVY196649 Q262185 JM262185 TI262185 ADE262185 ANA262185 AWW262185 BGS262185 BQO262185 CAK262185 CKG262185 CUC262185 DDY262185 DNU262185 DXQ262185 EHM262185 ERI262185 FBE262185 FLA262185 FUW262185 GES262185 GOO262185 GYK262185 HIG262185 HSC262185 IBY262185 ILU262185 IVQ262185 JFM262185 JPI262185 JZE262185 KJA262185 KSW262185 LCS262185 LMO262185 LWK262185 MGG262185 MQC262185 MZY262185 NJU262185 NTQ262185 ODM262185 ONI262185 OXE262185 PHA262185 PQW262185 QAS262185 QKO262185 QUK262185 REG262185 ROC262185 RXY262185 SHU262185 SRQ262185 TBM262185 TLI262185 TVE262185 UFA262185 UOW262185 UYS262185 VIO262185 VSK262185 WCG262185 WMC262185 WVY262185 Q327721 JM327721 TI327721 ADE327721 ANA327721 AWW327721 BGS327721 BQO327721 CAK327721 CKG327721 CUC327721 DDY327721 DNU327721 DXQ327721 EHM327721 ERI327721 FBE327721 FLA327721 FUW327721 GES327721 GOO327721 GYK327721 HIG327721 HSC327721 IBY327721 ILU327721 IVQ327721 JFM327721 JPI327721 JZE327721 KJA327721 KSW327721 LCS327721 LMO327721 LWK327721 MGG327721 MQC327721 MZY327721 NJU327721 NTQ327721 ODM327721 ONI327721 OXE327721 PHA327721 PQW327721 QAS327721 QKO327721 QUK327721 REG327721 ROC327721 RXY327721 SHU327721 SRQ327721 TBM327721 TLI327721 TVE327721 UFA327721 UOW327721 UYS327721 VIO327721 VSK327721 WCG327721 WMC327721 WVY327721 Q393257 JM393257 TI393257 ADE393257 ANA393257 AWW393257 BGS393257 BQO393257 CAK393257 CKG393257 CUC393257 DDY393257 DNU393257 DXQ393257 EHM393257 ERI393257 FBE393257 FLA393257 FUW393257 GES393257 GOO393257 GYK393257 HIG393257 HSC393257 IBY393257 ILU393257 IVQ393257 JFM393257 JPI393257 JZE393257 KJA393257 KSW393257 LCS393257 LMO393257 LWK393257 MGG393257 MQC393257 MZY393257 NJU393257 NTQ393257 ODM393257 ONI393257 OXE393257 PHA393257 PQW393257 QAS393257 QKO393257 QUK393257 REG393257 ROC393257 RXY393257 SHU393257 SRQ393257 TBM393257 TLI393257 TVE393257 UFA393257 UOW393257 UYS393257 VIO393257 VSK393257 WCG393257 WMC393257 WVY393257 Q458793 JM458793 TI458793 ADE458793 ANA458793 AWW458793 BGS458793 BQO458793 CAK458793 CKG458793 CUC458793 DDY458793 DNU458793 DXQ458793 EHM458793 ERI458793 FBE458793 FLA458793 FUW458793 GES458793 GOO458793 GYK458793 HIG458793 HSC458793 IBY458793 ILU458793 IVQ458793 JFM458793 JPI458793 JZE458793 KJA458793 KSW458793 LCS458793 LMO458793 LWK458793 MGG458793 MQC458793 MZY458793 NJU458793 NTQ458793 ODM458793 ONI458793 OXE458793 PHA458793 PQW458793 QAS458793 QKO458793 QUK458793 REG458793 ROC458793 RXY458793 SHU458793 SRQ458793 TBM458793 TLI458793 TVE458793 UFA458793 UOW458793 UYS458793 VIO458793 VSK458793 WCG458793 WMC458793 WVY458793 Q524329 JM524329 TI524329 ADE524329 ANA524329 AWW524329 BGS524329 BQO524329 CAK524329 CKG524329 CUC524329 DDY524329 DNU524329 DXQ524329 EHM524329 ERI524329 FBE524329 FLA524329 FUW524329 GES524329 GOO524329 GYK524329 HIG524329 HSC524329 IBY524329 ILU524329 IVQ524329 JFM524329 JPI524329 JZE524329 KJA524329 KSW524329 LCS524329 LMO524329 LWK524329 MGG524329 MQC524329 MZY524329 NJU524329 NTQ524329 ODM524329 ONI524329 OXE524329 PHA524329 PQW524329 QAS524329 QKO524329 QUK524329 REG524329 ROC524329 RXY524329 SHU524329 SRQ524329 TBM524329 TLI524329 TVE524329 UFA524329 UOW524329 UYS524329 VIO524329 VSK524329 WCG524329 WMC524329 WVY524329 Q589865 JM589865 TI589865 ADE589865 ANA589865 AWW589865 BGS589865 BQO589865 CAK589865 CKG589865 CUC589865 DDY589865 DNU589865 DXQ589865 EHM589865 ERI589865 FBE589865 FLA589865 FUW589865 GES589865 GOO589865 GYK589865 HIG589865 HSC589865 IBY589865 ILU589865 IVQ589865 JFM589865 JPI589865 JZE589865 KJA589865 KSW589865 LCS589865 LMO589865 LWK589865 MGG589865 MQC589865 MZY589865 NJU589865 NTQ589865 ODM589865 ONI589865 OXE589865 PHA589865 PQW589865 QAS589865 QKO589865 QUK589865 REG589865 ROC589865 RXY589865 SHU589865 SRQ589865 TBM589865 TLI589865 TVE589865 UFA589865 UOW589865 UYS589865 VIO589865 VSK589865 WCG589865 WMC589865 WVY589865 Q655401 JM655401 TI655401 ADE655401 ANA655401 AWW655401 BGS655401 BQO655401 CAK655401 CKG655401 CUC655401 DDY655401 DNU655401 DXQ655401 EHM655401 ERI655401 FBE655401 FLA655401 FUW655401 GES655401 GOO655401 GYK655401 HIG655401 HSC655401 IBY655401 ILU655401 IVQ655401 JFM655401 JPI655401 JZE655401 KJA655401 KSW655401 LCS655401 LMO655401 LWK655401 MGG655401 MQC655401 MZY655401 NJU655401 NTQ655401 ODM655401 ONI655401 OXE655401 PHA655401 PQW655401 QAS655401 QKO655401 QUK655401 REG655401 ROC655401 RXY655401 SHU655401 SRQ655401 TBM655401 TLI655401 TVE655401 UFA655401 UOW655401 UYS655401 VIO655401 VSK655401 WCG655401 WMC655401 WVY655401 Q720937 JM720937 TI720937 ADE720937 ANA720937 AWW720937 BGS720937 BQO720937 CAK720937 CKG720937 CUC720937 DDY720937 DNU720937 DXQ720937 EHM720937 ERI720937 FBE720937 FLA720937 FUW720937 GES720937 GOO720937 GYK720937 HIG720937 HSC720937 IBY720937 ILU720937 IVQ720937 JFM720937 JPI720937 JZE720937 KJA720937 KSW720937 LCS720937 LMO720937 LWK720937 MGG720937 MQC720937 MZY720937 NJU720937 NTQ720937 ODM720937 ONI720937 OXE720937 PHA720937 PQW720937 QAS720937 QKO720937 QUK720937 REG720937 ROC720937 RXY720937 SHU720937 SRQ720937 TBM720937 TLI720937 TVE720937 UFA720937 UOW720937 UYS720937 VIO720937 VSK720937 WCG720937 WMC720937 WVY720937 Q786473 JM786473 TI786473 ADE786473 ANA786473 AWW786473 BGS786473 BQO786473 CAK786473 CKG786473 CUC786473 DDY786473 DNU786473 DXQ786473 EHM786473 ERI786473 FBE786473 FLA786473 FUW786473 GES786473 GOO786473 GYK786473 HIG786473 HSC786473 IBY786473 ILU786473 IVQ786473 JFM786473 JPI786473 JZE786473 KJA786473 KSW786473 LCS786473 LMO786473 LWK786473 MGG786473 MQC786473 MZY786473 NJU786473 NTQ786473 ODM786473 ONI786473 OXE786473 PHA786473 PQW786473 QAS786473 QKO786473 QUK786473 REG786473 ROC786473 RXY786473 SHU786473 SRQ786473 TBM786473 TLI786473 TVE786473 UFA786473 UOW786473 UYS786473 VIO786473 VSK786473 WCG786473 WMC786473 WVY786473 Q852009 JM852009 TI852009 ADE852009 ANA852009 AWW852009 BGS852009 BQO852009 CAK852009 CKG852009 CUC852009 DDY852009 DNU852009 DXQ852009 EHM852009 ERI852009 FBE852009 FLA852009 FUW852009 GES852009 GOO852009 GYK852009 HIG852009 HSC852009 IBY852009 ILU852009 IVQ852009 JFM852009 JPI852009 JZE852009 KJA852009 KSW852009 LCS852009 LMO852009 LWK852009 MGG852009 MQC852009 MZY852009 NJU852009 NTQ852009 ODM852009 ONI852009 OXE852009 PHA852009 PQW852009 QAS852009 QKO852009 QUK852009 REG852009 ROC852009 RXY852009 SHU852009 SRQ852009 TBM852009 TLI852009 TVE852009 UFA852009 UOW852009 UYS852009 VIO852009 VSK852009 WCG852009 WMC852009 WVY852009 Q917545 JM917545 TI917545 ADE917545 ANA917545 AWW917545 BGS917545 BQO917545 CAK917545 CKG917545 CUC917545 DDY917545 DNU917545 DXQ917545 EHM917545 ERI917545 FBE917545 FLA917545 FUW917545 GES917545 GOO917545 GYK917545 HIG917545 HSC917545 IBY917545 ILU917545 IVQ917545 JFM917545 JPI917545 JZE917545 KJA917545 KSW917545 LCS917545 LMO917545 LWK917545 MGG917545 MQC917545 MZY917545 NJU917545 NTQ917545 ODM917545 ONI917545 OXE917545 PHA917545 PQW917545 QAS917545 QKO917545 QUK917545 REG917545 ROC917545 RXY917545 SHU917545 SRQ917545 TBM917545 TLI917545 TVE917545 UFA917545 UOW917545 UYS917545 VIO917545 VSK917545 WCG917545 WMC917545 WVY917545 Q983081 JM983081 TI983081 ADE983081 ANA983081 AWW983081 BGS983081 BQO983081 CAK983081 CKG983081 CUC983081 DDY983081 DNU983081 DXQ983081 EHM983081 ERI983081 FBE983081 FLA983081 FUW983081 GES983081 GOO983081 GYK983081 HIG983081 HSC983081 IBY983081 ILU983081 IVQ983081 JFM983081 JPI983081 JZE983081 KJA983081 KSW983081 LCS983081 LMO983081 LWK983081 MGG983081 MQC983081 MZY983081 NJU983081 NTQ983081 ODM983081 ONI983081 OXE983081 PHA983081 PQW983081 QAS983081 QKO983081 QUK983081 REG983081 ROC983081 RXY983081 SHU983081 SRQ983081 TBM983081 TLI983081 TVE983081 UFA983081 UOW983081 UYS983081 VIO983081 VSK983081 WCG983081 WMC983081 Q43" xr:uid="{00000000-0002-0000-0400-000004000000}"/>
    <dataValidation allowBlank="1" showInputMessage="1" showErrorMessage="1" prompt="_x000a_" sqref="WVW983074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O65570 JK65570 TG65570 ADC65570 AMY65570 AWU65570 BGQ65570 BQM65570 CAI65570 CKE65570 CUA65570 DDW65570 DNS65570 DXO65570 EHK65570 ERG65570 FBC65570 FKY65570 FUU65570 GEQ65570 GOM65570 GYI65570 HIE65570 HSA65570 IBW65570 ILS65570 IVO65570 JFK65570 JPG65570 JZC65570 KIY65570 KSU65570 LCQ65570 LMM65570 LWI65570 MGE65570 MQA65570 MZW65570 NJS65570 NTO65570 ODK65570 ONG65570 OXC65570 PGY65570 PQU65570 QAQ65570 QKM65570 QUI65570 REE65570 ROA65570 RXW65570 SHS65570 SRO65570 TBK65570 TLG65570 TVC65570 UEY65570 UOU65570 UYQ65570 VIM65570 VSI65570 WCE65570 WMA65570 WVW65570 O131106 JK131106 TG131106 ADC131106 AMY131106 AWU131106 BGQ131106 BQM131106 CAI131106 CKE131106 CUA131106 DDW131106 DNS131106 DXO131106 EHK131106 ERG131106 FBC131106 FKY131106 FUU131106 GEQ131106 GOM131106 GYI131106 HIE131106 HSA131106 IBW131106 ILS131106 IVO131106 JFK131106 JPG131106 JZC131106 KIY131106 KSU131106 LCQ131106 LMM131106 LWI131106 MGE131106 MQA131106 MZW131106 NJS131106 NTO131106 ODK131106 ONG131106 OXC131106 PGY131106 PQU131106 QAQ131106 QKM131106 QUI131106 REE131106 ROA131106 RXW131106 SHS131106 SRO131106 TBK131106 TLG131106 TVC131106 UEY131106 UOU131106 UYQ131106 VIM131106 VSI131106 WCE131106 WMA131106 WVW131106 O196642 JK196642 TG196642 ADC196642 AMY196642 AWU196642 BGQ196642 BQM196642 CAI196642 CKE196642 CUA196642 DDW196642 DNS196642 DXO196642 EHK196642 ERG196642 FBC196642 FKY196642 FUU196642 GEQ196642 GOM196642 GYI196642 HIE196642 HSA196642 IBW196642 ILS196642 IVO196642 JFK196642 JPG196642 JZC196642 KIY196642 KSU196642 LCQ196642 LMM196642 LWI196642 MGE196642 MQA196642 MZW196642 NJS196642 NTO196642 ODK196642 ONG196642 OXC196642 PGY196642 PQU196642 QAQ196642 QKM196642 QUI196642 REE196642 ROA196642 RXW196642 SHS196642 SRO196642 TBK196642 TLG196642 TVC196642 UEY196642 UOU196642 UYQ196642 VIM196642 VSI196642 WCE196642 WMA196642 WVW196642 O262178 JK262178 TG262178 ADC262178 AMY262178 AWU262178 BGQ262178 BQM262178 CAI262178 CKE262178 CUA262178 DDW262178 DNS262178 DXO262178 EHK262178 ERG262178 FBC262178 FKY262178 FUU262178 GEQ262178 GOM262178 GYI262178 HIE262178 HSA262178 IBW262178 ILS262178 IVO262178 JFK262178 JPG262178 JZC262178 KIY262178 KSU262178 LCQ262178 LMM262178 LWI262178 MGE262178 MQA262178 MZW262178 NJS262178 NTO262178 ODK262178 ONG262178 OXC262178 PGY262178 PQU262178 QAQ262178 QKM262178 QUI262178 REE262178 ROA262178 RXW262178 SHS262178 SRO262178 TBK262178 TLG262178 TVC262178 UEY262178 UOU262178 UYQ262178 VIM262178 VSI262178 WCE262178 WMA262178 WVW262178 O327714 JK327714 TG327714 ADC327714 AMY327714 AWU327714 BGQ327714 BQM327714 CAI327714 CKE327714 CUA327714 DDW327714 DNS327714 DXO327714 EHK327714 ERG327714 FBC327714 FKY327714 FUU327714 GEQ327714 GOM327714 GYI327714 HIE327714 HSA327714 IBW327714 ILS327714 IVO327714 JFK327714 JPG327714 JZC327714 KIY327714 KSU327714 LCQ327714 LMM327714 LWI327714 MGE327714 MQA327714 MZW327714 NJS327714 NTO327714 ODK327714 ONG327714 OXC327714 PGY327714 PQU327714 QAQ327714 QKM327714 QUI327714 REE327714 ROA327714 RXW327714 SHS327714 SRO327714 TBK327714 TLG327714 TVC327714 UEY327714 UOU327714 UYQ327714 VIM327714 VSI327714 WCE327714 WMA327714 WVW327714 O393250 JK393250 TG393250 ADC393250 AMY393250 AWU393250 BGQ393250 BQM393250 CAI393250 CKE393250 CUA393250 DDW393250 DNS393250 DXO393250 EHK393250 ERG393250 FBC393250 FKY393250 FUU393250 GEQ393250 GOM393250 GYI393250 HIE393250 HSA393250 IBW393250 ILS393250 IVO393250 JFK393250 JPG393250 JZC393250 KIY393250 KSU393250 LCQ393250 LMM393250 LWI393250 MGE393250 MQA393250 MZW393250 NJS393250 NTO393250 ODK393250 ONG393250 OXC393250 PGY393250 PQU393250 QAQ393250 QKM393250 QUI393250 REE393250 ROA393250 RXW393250 SHS393250 SRO393250 TBK393250 TLG393250 TVC393250 UEY393250 UOU393250 UYQ393250 VIM393250 VSI393250 WCE393250 WMA393250 WVW393250 O458786 JK458786 TG458786 ADC458786 AMY458786 AWU458786 BGQ458786 BQM458786 CAI458786 CKE458786 CUA458786 DDW458786 DNS458786 DXO458786 EHK458786 ERG458786 FBC458786 FKY458786 FUU458786 GEQ458786 GOM458786 GYI458786 HIE458786 HSA458786 IBW458786 ILS458786 IVO458786 JFK458786 JPG458786 JZC458786 KIY458786 KSU458786 LCQ458786 LMM458786 LWI458786 MGE458786 MQA458786 MZW458786 NJS458786 NTO458786 ODK458786 ONG458786 OXC458786 PGY458786 PQU458786 QAQ458786 QKM458786 QUI458786 REE458786 ROA458786 RXW458786 SHS458786 SRO458786 TBK458786 TLG458786 TVC458786 UEY458786 UOU458786 UYQ458786 VIM458786 VSI458786 WCE458786 WMA458786 WVW458786 O524322 JK524322 TG524322 ADC524322 AMY524322 AWU524322 BGQ524322 BQM524322 CAI524322 CKE524322 CUA524322 DDW524322 DNS524322 DXO524322 EHK524322 ERG524322 FBC524322 FKY524322 FUU524322 GEQ524322 GOM524322 GYI524322 HIE524322 HSA524322 IBW524322 ILS524322 IVO524322 JFK524322 JPG524322 JZC524322 KIY524322 KSU524322 LCQ524322 LMM524322 LWI524322 MGE524322 MQA524322 MZW524322 NJS524322 NTO524322 ODK524322 ONG524322 OXC524322 PGY524322 PQU524322 QAQ524322 QKM524322 QUI524322 REE524322 ROA524322 RXW524322 SHS524322 SRO524322 TBK524322 TLG524322 TVC524322 UEY524322 UOU524322 UYQ524322 VIM524322 VSI524322 WCE524322 WMA524322 WVW524322 O589858 JK589858 TG589858 ADC589858 AMY589858 AWU589858 BGQ589858 BQM589858 CAI589858 CKE589858 CUA589858 DDW589858 DNS589858 DXO589858 EHK589858 ERG589858 FBC589858 FKY589858 FUU589858 GEQ589858 GOM589858 GYI589858 HIE589858 HSA589858 IBW589858 ILS589858 IVO589858 JFK589858 JPG589858 JZC589858 KIY589858 KSU589858 LCQ589858 LMM589858 LWI589858 MGE589858 MQA589858 MZW589858 NJS589858 NTO589858 ODK589858 ONG589858 OXC589858 PGY589858 PQU589858 QAQ589858 QKM589858 QUI589858 REE589858 ROA589858 RXW589858 SHS589858 SRO589858 TBK589858 TLG589858 TVC589858 UEY589858 UOU589858 UYQ589858 VIM589858 VSI589858 WCE589858 WMA589858 WVW589858 O655394 JK655394 TG655394 ADC655394 AMY655394 AWU655394 BGQ655394 BQM655394 CAI655394 CKE655394 CUA655394 DDW655394 DNS655394 DXO655394 EHK655394 ERG655394 FBC655394 FKY655394 FUU655394 GEQ655394 GOM655394 GYI655394 HIE655394 HSA655394 IBW655394 ILS655394 IVO655394 JFK655394 JPG655394 JZC655394 KIY655394 KSU655394 LCQ655394 LMM655394 LWI655394 MGE655394 MQA655394 MZW655394 NJS655394 NTO655394 ODK655394 ONG655394 OXC655394 PGY655394 PQU655394 QAQ655394 QKM655394 QUI655394 REE655394 ROA655394 RXW655394 SHS655394 SRO655394 TBK655394 TLG655394 TVC655394 UEY655394 UOU655394 UYQ655394 VIM655394 VSI655394 WCE655394 WMA655394 WVW655394 O720930 JK720930 TG720930 ADC720930 AMY720930 AWU720930 BGQ720930 BQM720930 CAI720930 CKE720930 CUA720930 DDW720930 DNS720930 DXO720930 EHK720930 ERG720930 FBC720930 FKY720930 FUU720930 GEQ720930 GOM720930 GYI720930 HIE720930 HSA720930 IBW720930 ILS720930 IVO720930 JFK720930 JPG720930 JZC720930 KIY720930 KSU720930 LCQ720930 LMM720930 LWI720930 MGE720930 MQA720930 MZW720930 NJS720930 NTO720930 ODK720930 ONG720930 OXC720930 PGY720930 PQU720930 QAQ720930 QKM720930 QUI720930 REE720930 ROA720930 RXW720930 SHS720930 SRO720930 TBK720930 TLG720930 TVC720930 UEY720930 UOU720930 UYQ720930 VIM720930 VSI720930 WCE720930 WMA720930 WVW720930 O786466 JK786466 TG786466 ADC786466 AMY786466 AWU786466 BGQ786466 BQM786466 CAI786466 CKE786466 CUA786466 DDW786466 DNS786466 DXO786466 EHK786466 ERG786466 FBC786466 FKY786466 FUU786466 GEQ786466 GOM786466 GYI786466 HIE786466 HSA786466 IBW786466 ILS786466 IVO786466 JFK786466 JPG786466 JZC786466 KIY786466 KSU786466 LCQ786466 LMM786466 LWI786466 MGE786466 MQA786466 MZW786466 NJS786466 NTO786466 ODK786466 ONG786466 OXC786466 PGY786466 PQU786466 QAQ786466 QKM786466 QUI786466 REE786466 ROA786466 RXW786466 SHS786466 SRO786466 TBK786466 TLG786466 TVC786466 UEY786466 UOU786466 UYQ786466 VIM786466 VSI786466 WCE786466 WMA786466 WVW786466 O852002 JK852002 TG852002 ADC852002 AMY852002 AWU852002 BGQ852002 BQM852002 CAI852002 CKE852002 CUA852002 DDW852002 DNS852002 DXO852002 EHK852002 ERG852002 FBC852002 FKY852002 FUU852002 GEQ852002 GOM852002 GYI852002 HIE852002 HSA852002 IBW852002 ILS852002 IVO852002 JFK852002 JPG852002 JZC852002 KIY852002 KSU852002 LCQ852002 LMM852002 LWI852002 MGE852002 MQA852002 MZW852002 NJS852002 NTO852002 ODK852002 ONG852002 OXC852002 PGY852002 PQU852002 QAQ852002 QKM852002 QUI852002 REE852002 ROA852002 RXW852002 SHS852002 SRO852002 TBK852002 TLG852002 TVC852002 UEY852002 UOU852002 UYQ852002 VIM852002 VSI852002 WCE852002 WMA852002 WVW852002 O917538 JK917538 TG917538 ADC917538 AMY917538 AWU917538 BGQ917538 BQM917538 CAI917538 CKE917538 CUA917538 DDW917538 DNS917538 DXO917538 EHK917538 ERG917538 FBC917538 FKY917538 FUU917538 GEQ917538 GOM917538 GYI917538 HIE917538 HSA917538 IBW917538 ILS917538 IVO917538 JFK917538 JPG917538 JZC917538 KIY917538 KSU917538 LCQ917538 LMM917538 LWI917538 MGE917538 MQA917538 MZW917538 NJS917538 NTO917538 ODK917538 ONG917538 OXC917538 PGY917538 PQU917538 QAQ917538 QKM917538 QUI917538 REE917538 ROA917538 RXW917538 SHS917538 SRO917538 TBK917538 TLG917538 TVC917538 UEY917538 UOU917538 UYQ917538 VIM917538 VSI917538 WCE917538 WMA917538 WVW917538 O983074 JK983074 TG983074 ADC983074 AMY983074 AWU983074 BGQ983074 BQM983074 CAI983074 CKE983074 CUA983074 DDW983074 DNS983074 DXO983074 EHK983074 ERG983074 FBC983074 FKY983074 FUU983074 GEQ983074 GOM983074 GYI983074 HIE983074 HSA983074 IBW983074 ILS983074 IVO983074 JFK983074 JPG983074 JZC983074 KIY983074 KSU983074 LCQ983074 LMM983074 LWI983074 MGE983074 MQA983074 MZW983074 NJS983074 NTO983074 ODK983074 ONG983074 OXC983074 PGY983074 PQU983074 QAQ983074 QKM983074 QUI983074 REE983074 ROA983074 RXW983074 SHS983074 SRO983074 TBK983074 TLG983074 TVC983074 UEY983074 UOU983074 UYQ983074 VIM983074 VSI983074 WCE983074 WMA983074 O36" xr:uid="{00000000-0002-0000-0400-000005000000}"/>
  </dataValidations>
  <printOptions horizontalCentered="1"/>
  <pageMargins left="0" right="0" top="0.75" bottom="0.5" header="0.3" footer="0.3"/>
  <pageSetup paperSize="9" scale="43"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8"/>
  <sheetViews>
    <sheetView zoomScale="80" zoomScaleNormal="80" workbookViewId="0">
      <selection activeCell="A4" sqref="A4:T4"/>
    </sheetView>
  </sheetViews>
  <sheetFormatPr defaultColWidth="9.140625" defaultRowHeight="15" x14ac:dyDescent="0.25"/>
  <cols>
    <col min="1" max="1" width="6.42578125" style="64" customWidth="1"/>
    <col min="2" max="2" width="20.42578125" style="64" customWidth="1"/>
    <col min="3" max="3" width="12.42578125" style="64" customWidth="1"/>
    <col min="4" max="4" width="12.85546875" style="64" customWidth="1"/>
    <col min="5" max="5" width="11.42578125" style="64" customWidth="1"/>
    <col min="6" max="7" width="10.5703125" style="64" customWidth="1"/>
    <col min="8" max="8" width="10.42578125" style="64" customWidth="1"/>
    <col min="9" max="9" width="12.42578125" style="64" customWidth="1"/>
    <col min="10" max="10" width="13.42578125" style="64" customWidth="1"/>
    <col min="11" max="11" width="12" style="64" customWidth="1"/>
    <col min="12" max="12" width="11.42578125" style="64" customWidth="1"/>
    <col min="13" max="13" width="11" style="64" customWidth="1"/>
    <col min="14" max="14" width="11.42578125" style="64" customWidth="1"/>
    <col min="15" max="15" width="7.42578125" style="64" customWidth="1"/>
    <col min="16" max="16" width="8.5703125" style="64" customWidth="1"/>
    <col min="17" max="17" width="9" style="64" customWidth="1"/>
    <col min="18" max="18" width="8.5703125" style="64" customWidth="1"/>
    <col min="19" max="19" width="10.42578125" style="64" customWidth="1"/>
    <col min="20" max="20" width="8.28515625" style="64" customWidth="1"/>
    <col min="21" max="22" width="9.140625" style="64"/>
    <col min="23" max="23" width="9.42578125" style="64" bestFit="1" customWidth="1"/>
    <col min="24" max="16384" width="9.140625" style="64"/>
  </cols>
  <sheetData>
    <row r="1" spans="1:23" s="9" customFormat="1" ht="15.75" x14ac:dyDescent="0.25">
      <c r="A1" s="15"/>
      <c r="R1" s="15" t="s">
        <v>105</v>
      </c>
    </row>
    <row r="2" spans="1:23" s="9" customFormat="1" ht="15.75" x14ac:dyDescent="0.25">
      <c r="A2" s="144"/>
    </row>
    <row r="3" spans="1:23" s="9" customFormat="1" ht="16.5" x14ac:dyDescent="0.25">
      <c r="A3" s="328" t="s">
        <v>647</v>
      </c>
      <c r="B3" s="328"/>
      <c r="C3" s="328"/>
      <c r="D3" s="328"/>
      <c r="E3" s="328"/>
      <c r="F3" s="328"/>
      <c r="G3" s="328"/>
      <c r="H3" s="328"/>
      <c r="I3" s="328"/>
      <c r="J3" s="328"/>
      <c r="K3" s="328"/>
      <c r="L3" s="328"/>
      <c r="M3" s="328"/>
      <c r="N3" s="328"/>
      <c r="O3" s="328"/>
      <c r="P3" s="328"/>
      <c r="Q3" s="328"/>
      <c r="R3" s="328"/>
      <c r="S3" s="328"/>
      <c r="T3" s="328"/>
    </row>
    <row r="4" spans="1:23" s="9" customFormat="1" ht="15.75" x14ac:dyDescent="0.25">
      <c r="A4" s="329" t="s">
        <v>720</v>
      </c>
      <c r="B4" s="329"/>
      <c r="C4" s="329"/>
      <c r="D4" s="329"/>
      <c r="E4" s="329"/>
      <c r="F4" s="329"/>
      <c r="G4" s="329"/>
      <c r="H4" s="329"/>
      <c r="I4" s="329"/>
      <c r="J4" s="329"/>
      <c r="K4" s="329"/>
      <c r="L4" s="329"/>
      <c r="M4" s="329"/>
      <c r="N4" s="329"/>
      <c r="O4" s="329"/>
      <c r="P4" s="329"/>
      <c r="Q4" s="329"/>
      <c r="R4" s="329"/>
      <c r="S4" s="329"/>
      <c r="T4" s="329"/>
    </row>
    <row r="5" spans="1:23" s="9" customFormat="1" ht="15.75" x14ac:dyDescent="0.25">
      <c r="B5" s="21"/>
      <c r="C5" s="10"/>
      <c r="D5" s="6"/>
      <c r="I5" s="6"/>
      <c r="J5" s="6"/>
      <c r="S5" s="145" t="s">
        <v>1</v>
      </c>
    </row>
    <row r="6" spans="1:23" s="28" customFormat="1" ht="15.75" x14ac:dyDescent="0.25">
      <c r="A6" s="345" t="s">
        <v>2</v>
      </c>
      <c r="B6" s="345" t="s">
        <v>106</v>
      </c>
      <c r="C6" s="345" t="s">
        <v>150</v>
      </c>
      <c r="D6" s="345"/>
      <c r="E6" s="345"/>
      <c r="F6" s="345"/>
      <c r="G6" s="345"/>
      <c r="H6" s="345"/>
      <c r="I6" s="345" t="s">
        <v>151</v>
      </c>
      <c r="J6" s="345"/>
      <c r="K6" s="345"/>
      <c r="L6" s="345"/>
      <c r="M6" s="345"/>
      <c r="N6" s="345"/>
      <c r="O6" s="345" t="s">
        <v>109</v>
      </c>
      <c r="P6" s="345"/>
      <c r="Q6" s="345"/>
      <c r="R6" s="345"/>
      <c r="S6" s="345"/>
      <c r="T6" s="345"/>
    </row>
    <row r="7" spans="1:23" s="28" customFormat="1" ht="15.75" x14ac:dyDescent="0.25">
      <c r="A7" s="345"/>
      <c r="B7" s="345"/>
      <c r="C7" s="345" t="s">
        <v>110</v>
      </c>
      <c r="D7" s="345" t="s">
        <v>111</v>
      </c>
      <c r="E7" s="345" t="s">
        <v>112</v>
      </c>
      <c r="F7" s="345"/>
      <c r="G7" s="345"/>
      <c r="H7" s="345"/>
      <c r="I7" s="345" t="s">
        <v>110</v>
      </c>
      <c r="J7" s="345" t="s">
        <v>111</v>
      </c>
      <c r="K7" s="345" t="s">
        <v>112</v>
      </c>
      <c r="L7" s="345"/>
      <c r="M7" s="345"/>
      <c r="N7" s="345"/>
      <c r="O7" s="345" t="s">
        <v>110</v>
      </c>
      <c r="P7" s="345" t="s">
        <v>111</v>
      </c>
      <c r="Q7" s="345" t="s">
        <v>112</v>
      </c>
      <c r="R7" s="345"/>
      <c r="S7" s="345"/>
      <c r="T7" s="345"/>
    </row>
    <row r="8" spans="1:23" s="28" customFormat="1" ht="204.75" customHeight="1" x14ac:dyDescent="0.25">
      <c r="A8" s="345"/>
      <c r="B8" s="345"/>
      <c r="C8" s="345"/>
      <c r="D8" s="345"/>
      <c r="E8" s="136" t="s">
        <v>110</v>
      </c>
      <c r="F8" s="136" t="s">
        <v>113</v>
      </c>
      <c r="G8" s="136" t="s">
        <v>114</v>
      </c>
      <c r="H8" s="136" t="s">
        <v>115</v>
      </c>
      <c r="I8" s="345"/>
      <c r="J8" s="345"/>
      <c r="K8" s="136" t="s">
        <v>110</v>
      </c>
      <c r="L8" s="136" t="s">
        <v>113</v>
      </c>
      <c r="M8" s="136" t="s">
        <v>114</v>
      </c>
      <c r="N8" s="136" t="s">
        <v>115</v>
      </c>
      <c r="O8" s="345"/>
      <c r="P8" s="345"/>
      <c r="Q8" s="136" t="s">
        <v>110</v>
      </c>
      <c r="R8" s="136" t="s">
        <v>113</v>
      </c>
      <c r="S8" s="136" t="s">
        <v>114</v>
      </c>
      <c r="T8" s="136" t="s">
        <v>115</v>
      </c>
    </row>
    <row r="9" spans="1:23" s="9" customFormat="1" ht="31.5" x14ac:dyDescent="0.25">
      <c r="A9" s="138" t="s">
        <v>7</v>
      </c>
      <c r="B9" s="138" t="s">
        <v>8</v>
      </c>
      <c r="C9" s="138">
        <v>1</v>
      </c>
      <c r="D9" s="138">
        <v>2</v>
      </c>
      <c r="E9" s="138">
        <v>3</v>
      </c>
      <c r="F9" s="138">
        <v>4</v>
      </c>
      <c r="G9" s="138">
        <v>5</v>
      </c>
      <c r="H9" s="138">
        <v>6</v>
      </c>
      <c r="I9" s="138">
        <v>7</v>
      </c>
      <c r="J9" s="138">
        <v>8</v>
      </c>
      <c r="K9" s="138">
        <v>9</v>
      </c>
      <c r="L9" s="138">
        <v>10</v>
      </c>
      <c r="M9" s="138">
        <v>11</v>
      </c>
      <c r="N9" s="138">
        <v>12</v>
      </c>
      <c r="O9" s="138" t="s">
        <v>116</v>
      </c>
      <c r="P9" s="138" t="s">
        <v>117</v>
      </c>
      <c r="Q9" s="138" t="s">
        <v>118</v>
      </c>
      <c r="R9" s="138" t="s">
        <v>119</v>
      </c>
      <c r="S9" s="138" t="s">
        <v>120</v>
      </c>
      <c r="T9" s="138" t="s">
        <v>121</v>
      </c>
    </row>
    <row r="10" spans="1:23" s="9" customFormat="1" ht="19.5" customHeight="1" x14ac:dyDescent="0.25">
      <c r="A10" s="3"/>
      <c r="B10" s="3" t="s">
        <v>98</v>
      </c>
      <c r="C10" s="12">
        <f>SUM(C11:C20)</f>
        <v>2646825</v>
      </c>
      <c r="D10" s="12">
        <f t="shared" ref="D10:N10" si="0">SUM(D11:D20)</f>
        <v>2424617</v>
      </c>
      <c r="E10" s="12">
        <f t="shared" si="0"/>
        <v>222208</v>
      </c>
      <c r="F10" s="12">
        <f t="shared" si="0"/>
        <v>205119</v>
      </c>
      <c r="G10" s="12">
        <f t="shared" si="0"/>
        <v>17089</v>
      </c>
      <c r="H10" s="12">
        <f t="shared" si="0"/>
        <v>0</v>
      </c>
      <c r="I10" s="12">
        <f t="shared" si="0"/>
        <v>3552331.3750000005</v>
      </c>
      <c r="J10" s="24">
        <f t="shared" si="0"/>
        <v>2424547.4900000002</v>
      </c>
      <c r="K10" s="24">
        <f t="shared" si="0"/>
        <v>1127783.885</v>
      </c>
      <c r="L10" s="24">
        <f t="shared" si="0"/>
        <v>282192.61007699999</v>
      </c>
      <c r="M10" s="24">
        <f t="shared" si="0"/>
        <v>173974.43645099999</v>
      </c>
      <c r="N10" s="24">
        <f t="shared" si="0"/>
        <v>671616.83847199997</v>
      </c>
      <c r="O10" s="112">
        <f t="shared" ref="O10:S20" si="1">I10/C10%</f>
        <v>134.21104058636291</v>
      </c>
      <c r="P10" s="113">
        <f t="shared" si="1"/>
        <v>99.997133155463331</v>
      </c>
      <c r="Q10" s="12">
        <f t="shared" si="1"/>
        <v>507.53523050475235</v>
      </c>
      <c r="R10" s="12">
        <f t="shared" si="1"/>
        <v>137.57507109385284</v>
      </c>
      <c r="S10" s="12">
        <f t="shared" si="1"/>
        <v>1018.0492506934286</v>
      </c>
      <c r="T10" s="113"/>
      <c r="W10" s="6"/>
    </row>
    <row r="11" spans="1:23" s="9" customFormat="1" ht="27.75" customHeight="1" x14ac:dyDescent="0.25">
      <c r="A11" s="34">
        <v>1</v>
      </c>
      <c r="B11" s="33" t="s">
        <v>134</v>
      </c>
      <c r="C11" s="4">
        <f>D11+E11</f>
        <v>382114</v>
      </c>
      <c r="D11" s="4">
        <v>272119</v>
      </c>
      <c r="E11" s="13">
        <f>F11+G11+H11</f>
        <v>109995</v>
      </c>
      <c r="F11" s="13">
        <v>102773</v>
      </c>
      <c r="G11" s="13">
        <v>7222</v>
      </c>
      <c r="H11" s="13"/>
      <c r="I11" s="13">
        <f>J11+K11</f>
        <v>455958.43</v>
      </c>
      <c r="J11" s="14">
        <v>272119</v>
      </c>
      <c r="K11" s="14">
        <f>L11+M11+N11</f>
        <v>183839.43</v>
      </c>
      <c r="L11" s="14">
        <v>131886</v>
      </c>
      <c r="M11" s="14">
        <v>23588.43</v>
      </c>
      <c r="N11" s="14">
        <v>28365</v>
      </c>
      <c r="O11" s="25">
        <f t="shared" si="1"/>
        <v>119.32523540095364</v>
      </c>
      <c r="P11" s="5">
        <f t="shared" si="1"/>
        <v>100</v>
      </c>
      <c r="Q11" s="13">
        <f t="shared" si="1"/>
        <v>167.13435156143458</v>
      </c>
      <c r="R11" s="13">
        <f t="shared" si="1"/>
        <v>128.32747900713221</v>
      </c>
      <c r="S11" s="13">
        <f>M11/G11%</f>
        <v>326.61908058709497</v>
      </c>
      <c r="T11" s="5"/>
      <c r="W11" s="6"/>
    </row>
    <row r="12" spans="1:23" s="9" customFormat="1" ht="15.75" x14ac:dyDescent="0.25">
      <c r="A12" s="34">
        <v>2</v>
      </c>
      <c r="B12" s="33" t="s">
        <v>133</v>
      </c>
      <c r="C12" s="4">
        <f t="shared" ref="C12:C20" si="2">D12+E12</f>
        <v>369549</v>
      </c>
      <c r="D12" s="4">
        <v>351974</v>
      </c>
      <c r="E12" s="13">
        <f t="shared" ref="E12:E20" si="3">F12+G12+H12</f>
        <v>17575</v>
      </c>
      <c r="F12" s="13">
        <v>15802</v>
      </c>
      <c r="G12" s="13">
        <v>1773</v>
      </c>
      <c r="H12" s="13"/>
      <c r="I12" s="13">
        <f t="shared" ref="I12:I20" si="4">J12+K12</f>
        <v>444488.90299999999</v>
      </c>
      <c r="J12" s="14">
        <v>351974</v>
      </c>
      <c r="K12" s="14">
        <f>L12+M12+N12</f>
        <v>92514.902999999991</v>
      </c>
      <c r="L12" s="14">
        <v>19565</v>
      </c>
      <c r="M12" s="14">
        <v>14142.903</v>
      </c>
      <c r="N12" s="14">
        <v>58807</v>
      </c>
      <c r="O12" s="25">
        <f t="shared" si="1"/>
        <v>120.27874598497087</v>
      </c>
      <c r="P12" s="5">
        <f t="shared" si="1"/>
        <v>100</v>
      </c>
      <c r="Q12" s="13">
        <f t="shared" si="1"/>
        <v>526.40058605974389</v>
      </c>
      <c r="R12" s="13">
        <f t="shared" si="1"/>
        <v>123.81344133653967</v>
      </c>
      <c r="S12" s="13">
        <f t="shared" si="1"/>
        <v>797.68206429780037</v>
      </c>
      <c r="T12" s="5"/>
      <c r="W12" s="6"/>
    </row>
    <row r="13" spans="1:23" s="9" customFormat="1" ht="15.75" x14ac:dyDescent="0.25">
      <c r="A13" s="34">
        <v>3</v>
      </c>
      <c r="B13" s="33" t="s">
        <v>135</v>
      </c>
      <c r="C13" s="4">
        <f t="shared" si="2"/>
        <v>247832</v>
      </c>
      <c r="D13" s="4">
        <v>234856</v>
      </c>
      <c r="E13" s="13">
        <f t="shared" si="3"/>
        <v>12976</v>
      </c>
      <c r="F13" s="13">
        <v>12601</v>
      </c>
      <c r="G13" s="13">
        <v>375</v>
      </c>
      <c r="H13" s="13"/>
      <c r="I13" s="13">
        <f t="shared" si="4"/>
        <v>310504.228</v>
      </c>
      <c r="J13" s="14">
        <v>234786.49</v>
      </c>
      <c r="K13" s="14">
        <f t="shared" ref="K13:K20" si="5">L13+M13+N13</f>
        <v>75717.737999999998</v>
      </c>
      <c r="L13" s="14">
        <v>6545.5100769999999</v>
      </c>
      <c r="M13" s="14">
        <v>38444.576451000001</v>
      </c>
      <c r="N13" s="14">
        <v>30727.651472000001</v>
      </c>
      <c r="O13" s="25">
        <f t="shared" si="1"/>
        <v>125.28819038703637</v>
      </c>
      <c r="P13" s="5">
        <f t="shared" si="1"/>
        <v>99.970403140647889</v>
      </c>
      <c r="Q13" s="13">
        <f t="shared" si="1"/>
        <v>583.52140875462396</v>
      </c>
      <c r="R13" s="13">
        <f t="shared" si="1"/>
        <v>51.944370105547179</v>
      </c>
      <c r="S13" s="13">
        <f>M13/G13%</f>
        <v>10251.887053599999</v>
      </c>
      <c r="T13" s="5"/>
      <c r="W13" s="6"/>
    </row>
    <row r="14" spans="1:23" s="9" customFormat="1" ht="15.75" x14ac:dyDescent="0.25">
      <c r="A14" s="34">
        <v>4</v>
      </c>
      <c r="B14" s="33" t="s">
        <v>648</v>
      </c>
      <c r="C14" s="4">
        <f t="shared" si="2"/>
        <v>243646</v>
      </c>
      <c r="D14" s="4">
        <v>236122</v>
      </c>
      <c r="E14" s="13">
        <f t="shared" si="3"/>
        <v>7524</v>
      </c>
      <c r="F14" s="13">
        <v>6000</v>
      </c>
      <c r="G14" s="13">
        <v>1524</v>
      </c>
      <c r="H14" s="13"/>
      <c r="I14" s="13">
        <f t="shared" si="4"/>
        <v>289941.15399999998</v>
      </c>
      <c r="J14" s="14">
        <v>236122</v>
      </c>
      <c r="K14" s="14">
        <f t="shared" si="5"/>
        <v>53819.154000000002</v>
      </c>
      <c r="L14" s="14">
        <v>6438</v>
      </c>
      <c r="M14" s="14">
        <v>6234.1540000000005</v>
      </c>
      <c r="N14" s="14">
        <v>41147</v>
      </c>
      <c r="O14" s="25">
        <f t="shared" si="1"/>
        <v>119.00099078170788</v>
      </c>
      <c r="P14" s="5">
        <f t="shared" si="1"/>
        <v>100.00000000000001</v>
      </c>
      <c r="Q14" s="13">
        <f t="shared" si="1"/>
        <v>715.29976076555033</v>
      </c>
      <c r="R14" s="13">
        <f t="shared" si="1"/>
        <v>107.3</v>
      </c>
      <c r="S14" s="13">
        <f t="shared" si="1"/>
        <v>409.06522309711289</v>
      </c>
      <c r="T14" s="5"/>
      <c r="W14" s="6"/>
    </row>
    <row r="15" spans="1:23" s="9" customFormat="1" ht="15.75" x14ac:dyDescent="0.25">
      <c r="A15" s="34">
        <v>5</v>
      </c>
      <c r="B15" s="33" t="s">
        <v>147</v>
      </c>
      <c r="C15" s="4">
        <f t="shared" si="2"/>
        <v>375554</v>
      </c>
      <c r="D15" s="4">
        <v>366425</v>
      </c>
      <c r="E15" s="13">
        <f t="shared" si="3"/>
        <v>9129</v>
      </c>
      <c r="F15" s="13">
        <v>7999</v>
      </c>
      <c r="G15" s="13">
        <v>1130</v>
      </c>
      <c r="H15" s="13"/>
      <c r="I15" s="13">
        <f t="shared" si="4"/>
        <v>482507.93799999997</v>
      </c>
      <c r="J15" s="14">
        <v>366425</v>
      </c>
      <c r="K15" s="14">
        <f t="shared" si="5"/>
        <v>116082.93799999999</v>
      </c>
      <c r="L15" s="14">
        <v>77084</v>
      </c>
      <c r="M15" s="14">
        <v>17677.937999999995</v>
      </c>
      <c r="N15" s="14">
        <v>21321</v>
      </c>
      <c r="O15" s="25">
        <f t="shared" si="1"/>
        <v>128.47897719102977</v>
      </c>
      <c r="P15" s="5">
        <f t="shared" si="1"/>
        <v>100</v>
      </c>
      <c r="Q15" s="13">
        <f>K15/E15%</f>
        <v>1271.5843794501038</v>
      </c>
      <c r="R15" s="13">
        <f>L15/F15%</f>
        <v>963.670458807351</v>
      </c>
      <c r="S15" s="13">
        <f t="shared" si="1"/>
        <v>1564.4192920353976</v>
      </c>
      <c r="T15" s="5"/>
      <c r="W15" s="6"/>
    </row>
    <row r="16" spans="1:23" s="9" customFormat="1" ht="15.75" x14ac:dyDescent="0.25">
      <c r="A16" s="34">
        <v>6</v>
      </c>
      <c r="B16" s="33" t="s">
        <v>164</v>
      </c>
      <c r="C16" s="4">
        <f t="shared" si="2"/>
        <v>266260</v>
      </c>
      <c r="D16" s="4">
        <v>258162</v>
      </c>
      <c r="E16" s="13">
        <f t="shared" si="3"/>
        <v>8098</v>
      </c>
      <c r="F16" s="13">
        <v>7427</v>
      </c>
      <c r="G16" s="13">
        <v>671</v>
      </c>
      <c r="H16" s="13"/>
      <c r="I16" s="13">
        <f t="shared" si="4"/>
        <v>342305.51799999998</v>
      </c>
      <c r="J16" s="14">
        <v>258162</v>
      </c>
      <c r="K16" s="14">
        <f t="shared" si="5"/>
        <v>84143.517999999996</v>
      </c>
      <c r="L16" s="14">
        <v>14155</v>
      </c>
      <c r="M16" s="14">
        <v>7305.518</v>
      </c>
      <c r="N16" s="14">
        <v>62683</v>
      </c>
      <c r="O16" s="25">
        <f t="shared" si="1"/>
        <v>128.5606242019079</v>
      </c>
      <c r="P16" s="5">
        <f t="shared" si="1"/>
        <v>100</v>
      </c>
      <c r="Q16" s="13">
        <f t="shared" si="1"/>
        <v>1039.0654235613731</v>
      </c>
      <c r="R16" s="13">
        <f t="shared" si="1"/>
        <v>190.58839369866703</v>
      </c>
      <c r="S16" s="13">
        <f t="shared" si="1"/>
        <v>1088.7508196721312</v>
      </c>
      <c r="T16" s="5"/>
      <c r="W16" s="6"/>
    </row>
    <row r="17" spans="1:23" s="9" customFormat="1" ht="15.75" x14ac:dyDescent="0.25">
      <c r="A17" s="34">
        <v>7</v>
      </c>
      <c r="B17" s="33" t="s">
        <v>649</v>
      </c>
      <c r="C17" s="4">
        <f t="shared" si="2"/>
        <v>97797</v>
      </c>
      <c r="D17" s="4">
        <v>89890</v>
      </c>
      <c r="E17" s="13">
        <f t="shared" si="3"/>
        <v>7907</v>
      </c>
      <c r="F17" s="13">
        <v>7736</v>
      </c>
      <c r="G17" s="13">
        <v>171</v>
      </c>
      <c r="H17" s="13"/>
      <c r="I17" s="13">
        <f t="shared" si="4"/>
        <v>208338.43799999999</v>
      </c>
      <c r="J17" s="14">
        <v>89890</v>
      </c>
      <c r="K17" s="14">
        <f t="shared" si="5"/>
        <v>118448.43799999999</v>
      </c>
      <c r="L17" s="14">
        <v>7405</v>
      </c>
      <c r="M17" s="14">
        <v>2538.4380000000001</v>
      </c>
      <c r="N17" s="14">
        <v>108505</v>
      </c>
      <c r="O17" s="25">
        <f t="shared" si="1"/>
        <v>213.03152243933863</v>
      </c>
      <c r="P17" s="5">
        <f t="shared" si="1"/>
        <v>100</v>
      </c>
      <c r="Q17" s="13">
        <f t="shared" si="1"/>
        <v>1498.0199570001266</v>
      </c>
      <c r="R17" s="13">
        <f t="shared" si="1"/>
        <v>95.721302998965868</v>
      </c>
      <c r="S17" s="13">
        <f t="shared" si="1"/>
        <v>1484.4666666666667</v>
      </c>
      <c r="T17" s="5"/>
      <c r="W17" s="6"/>
    </row>
    <row r="18" spans="1:23" s="9" customFormat="1" ht="15.75" x14ac:dyDescent="0.25">
      <c r="A18" s="34">
        <v>8</v>
      </c>
      <c r="B18" s="33" t="s">
        <v>132</v>
      </c>
      <c r="C18" s="4">
        <f t="shared" si="2"/>
        <v>203450</v>
      </c>
      <c r="D18" s="4">
        <v>193824</v>
      </c>
      <c r="E18" s="13">
        <f t="shared" si="3"/>
        <v>9626</v>
      </c>
      <c r="F18" s="13">
        <v>8255</v>
      </c>
      <c r="G18" s="13">
        <v>1371</v>
      </c>
      <c r="H18" s="13"/>
      <c r="I18" s="13">
        <f t="shared" si="4"/>
        <v>261786.48699999999</v>
      </c>
      <c r="J18" s="14">
        <v>193824</v>
      </c>
      <c r="K18" s="14">
        <f t="shared" si="5"/>
        <v>67962.486999999994</v>
      </c>
      <c r="L18" s="14">
        <v>2997.1</v>
      </c>
      <c r="M18" s="14">
        <v>35211.199999999997</v>
      </c>
      <c r="N18" s="14">
        <v>29754.187000000002</v>
      </c>
      <c r="O18" s="25">
        <f t="shared" si="1"/>
        <v>128.67362349471614</v>
      </c>
      <c r="P18" s="5">
        <f t="shared" si="1"/>
        <v>100</v>
      </c>
      <c r="Q18" s="13">
        <f t="shared" si="1"/>
        <v>706.0304072304175</v>
      </c>
      <c r="R18" s="13">
        <f t="shared" si="1"/>
        <v>36.306480920654153</v>
      </c>
      <c r="S18" s="13">
        <f t="shared" si="1"/>
        <v>2568.285922684172</v>
      </c>
      <c r="T18" s="5"/>
      <c r="W18" s="6"/>
    </row>
    <row r="19" spans="1:23" s="9" customFormat="1" ht="15.75" x14ac:dyDescent="0.25">
      <c r="A19" s="34">
        <v>9</v>
      </c>
      <c r="B19" s="33" t="s">
        <v>163</v>
      </c>
      <c r="C19" s="4">
        <f t="shared" si="2"/>
        <v>185716</v>
      </c>
      <c r="D19" s="4">
        <v>152526</v>
      </c>
      <c r="E19" s="13">
        <f t="shared" si="3"/>
        <v>33190</v>
      </c>
      <c r="F19" s="13">
        <v>31468</v>
      </c>
      <c r="G19" s="13">
        <v>1722</v>
      </c>
      <c r="H19" s="13"/>
      <c r="I19" s="13">
        <f t="shared" si="4"/>
        <v>297676.25</v>
      </c>
      <c r="J19" s="14">
        <v>152526</v>
      </c>
      <c r="K19" s="14">
        <f t="shared" si="5"/>
        <v>145150.25</v>
      </c>
      <c r="L19" s="14">
        <v>10300</v>
      </c>
      <c r="M19" s="14">
        <v>9929.25</v>
      </c>
      <c r="N19" s="14">
        <v>124921</v>
      </c>
      <c r="O19" s="25">
        <f t="shared" si="1"/>
        <v>160.28573197785866</v>
      </c>
      <c r="P19" s="5">
        <f t="shared" si="1"/>
        <v>100</v>
      </c>
      <c r="Q19" s="13">
        <f t="shared" si="1"/>
        <v>437.33127448026517</v>
      </c>
      <c r="R19" s="13">
        <f t="shared" si="1"/>
        <v>32.731663912546075</v>
      </c>
      <c r="S19" s="13">
        <f t="shared" si="1"/>
        <v>576.6114982578398</v>
      </c>
      <c r="T19" s="5"/>
      <c r="W19" s="6"/>
    </row>
    <row r="20" spans="1:23" s="9" customFormat="1" ht="15.75" x14ac:dyDescent="0.25">
      <c r="A20" s="34">
        <v>10</v>
      </c>
      <c r="B20" s="33" t="s">
        <v>148</v>
      </c>
      <c r="C20" s="4">
        <f t="shared" si="2"/>
        <v>274907</v>
      </c>
      <c r="D20" s="4">
        <v>268719</v>
      </c>
      <c r="E20" s="13">
        <f t="shared" si="3"/>
        <v>6188</v>
      </c>
      <c r="F20" s="13">
        <v>5058</v>
      </c>
      <c r="G20" s="13">
        <v>1130</v>
      </c>
      <c r="H20" s="13"/>
      <c r="I20" s="13">
        <f t="shared" si="4"/>
        <v>458824.02899999998</v>
      </c>
      <c r="J20" s="14">
        <v>268719</v>
      </c>
      <c r="K20" s="14">
        <f t="shared" si="5"/>
        <v>190105.02900000001</v>
      </c>
      <c r="L20" s="14">
        <v>5817</v>
      </c>
      <c r="M20" s="14">
        <v>18902.028999999999</v>
      </c>
      <c r="N20" s="14">
        <v>165386</v>
      </c>
      <c r="O20" s="25">
        <f t="shared" si="1"/>
        <v>166.90154452232935</v>
      </c>
      <c r="P20" s="5">
        <f t="shared" si="1"/>
        <v>100</v>
      </c>
      <c r="Q20" s="13">
        <f t="shared" si="1"/>
        <v>3072.1562540400778</v>
      </c>
      <c r="R20" s="13">
        <f t="shared" si="1"/>
        <v>115.00593119810202</v>
      </c>
      <c r="S20" s="13">
        <f t="shared" si="1"/>
        <v>1672.7459292035396</v>
      </c>
      <c r="T20" s="5"/>
      <c r="W20" s="6"/>
    </row>
    <row r="21" spans="1:23" s="9" customFormat="1" ht="15.75" x14ac:dyDescent="0.25">
      <c r="A21" s="18"/>
      <c r="B21" s="19"/>
      <c r="C21" s="20"/>
      <c r="D21" s="20"/>
      <c r="E21" s="20"/>
      <c r="F21" s="20"/>
      <c r="G21" s="20"/>
      <c r="H21" s="20"/>
      <c r="I21" s="20"/>
      <c r="J21" s="26"/>
      <c r="K21" s="26"/>
      <c r="L21" s="26"/>
      <c r="M21" s="26"/>
      <c r="N21" s="26"/>
      <c r="O21" s="26"/>
      <c r="P21" s="20"/>
      <c r="Q21" s="20"/>
      <c r="R21" s="20"/>
      <c r="S21" s="20"/>
      <c r="T21" s="20"/>
      <c r="W21" s="6"/>
    </row>
    <row r="22" spans="1:23" s="9" customFormat="1" ht="15.75" x14ac:dyDescent="0.25">
      <c r="A22" s="46"/>
      <c r="C22" s="10"/>
      <c r="D22" s="10"/>
      <c r="E22" s="10"/>
      <c r="F22" s="10"/>
      <c r="G22" s="10"/>
      <c r="H22" s="10"/>
      <c r="I22" s="10"/>
      <c r="J22" s="10"/>
      <c r="K22" s="10"/>
      <c r="L22" s="10"/>
      <c r="M22" s="10"/>
      <c r="N22" s="10"/>
      <c r="O22" s="10"/>
      <c r="P22" s="10"/>
      <c r="Q22" s="10"/>
      <c r="R22" s="10"/>
      <c r="S22" s="10"/>
      <c r="T22" s="10"/>
    </row>
    <row r="23" spans="1:23" x14ac:dyDescent="0.25">
      <c r="I23" s="146"/>
    </row>
    <row r="24" spans="1:23" x14ac:dyDescent="0.25">
      <c r="J24" s="147"/>
    </row>
    <row r="39" spans="4:4" x14ac:dyDescent="0.25">
      <c r="D39" s="130"/>
    </row>
    <row r="40" spans="4:4" x14ac:dyDescent="0.25">
      <c r="D40" s="130"/>
    </row>
    <row r="41" spans="4:4" x14ac:dyDescent="0.25">
      <c r="D41" s="130"/>
    </row>
    <row r="42" spans="4:4" x14ac:dyDescent="0.25">
      <c r="D42" s="130"/>
    </row>
    <row r="43" spans="4:4" x14ac:dyDescent="0.25">
      <c r="D43" s="130"/>
    </row>
    <row r="44" spans="4:4" x14ac:dyDescent="0.25">
      <c r="D44" s="130"/>
    </row>
    <row r="45" spans="4:4" x14ac:dyDescent="0.25">
      <c r="D45" s="130"/>
    </row>
    <row r="46" spans="4:4" x14ac:dyDescent="0.25">
      <c r="D46" s="130"/>
    </row>
    <row r="47" spans="4:4" x14ac:dyDescent="0.25">
      <c r="D47" s="130"/>
    </row>
    <row r="48" spans="4:4" x14ac:dyDescent="0.25">
      <c r="D48" s="130"/>
    </row>
  </sheetData>
  <mergeCells count="16">
    <mergeCell ref="K7:N7"/>
    <mergeCell ref="O7:O8"/>
    <mergeCell ref="P7:P8"/>
    <mergeCell ref="Q7:T7"/>
    <mergeCell ref="A3:T3"/>
    <mergeCell ref="A4:T4"/>
    <mergeCell ref="A6:A8"/>
    <mergeCell ref="B6:B8"/>
    <mergeCell ref="C6:H6"/>
    <mergeCell ref="I6:N6"/>
    <mergeCell ref="O6:T6"/>
    <mergeCell ref="C7:C8"/>
    <mergeCell ref="D7:D8"/>
    <mergeCell ref="E7:H7"/>
    <mergeCell ref="I7:I8"/>
    <mergeCell ref="J7:J8"/>
  </mergeCells>
  <printOptions horizontalCentered="1"/>
  <pageMargins left="0" right="0" top="0.75" bottom="0.25" header="0.3" footer="0.3"/>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C46-632B-4924-ABFC-24A7FFA57FB9}">
  <dimension ref="A1:BY55"/>
  <sheetViews>
    <sheetView showZeros="0" tabSelected="1" zoomScaleNormal="100" workbookViewId="0">
      <selection activeCell="AB9" sqref="AB9:AB10"/>
    </sheetView>
  </sheetViews>
  <sheetFormatPr defaultColWidth="9.140625" defaultRowHeight="15" outlineLevelCol="1" x14ac:dyDescent="0.25"/>
  <cols>
    <col min="1" max="1" width="5.7109375" style="17" customWidth="1"/>
    <col min="2" max="2" width="25" style="17" customWidth="1"/>
    <col min="3" max="3" width="9.28515625" style="64" customWidth="1"/>
    <col min="4" max="5" width="9.28515625" style="64" customWidth="1" outlineLevel="1"/>
    <col min="6" max="6" width="9.42578125" style="64" customWidth="1" outlineLevel="1"/>
    <col min="7" max="7" width="9.7109375" style="64" customWidth="1" outlineLevel="1"/>
    <col min="8" max="8" width="8.85546875" style="64" customWidth="1" outlineLevel="1"/>
    <col min="9" max="9" width="5.42578125" style="64" customWidth="1" outlineLevel="1"/>
    <col min="10" max="10" width="8.42578125" style="64" customWidth="1" outlineLevel="1"/>
    <col min="11" max="11" width="8.140625" style="64" customWidth="1" outlineLevel="1"/>
    <col min="12" max="12" width="5.5703125" style="64" customWidth="1" outlineLevel="1"/>
    <col min="13" max="13" width="9.140625" style="64" customWidth="1" outlineLevel="1"/>
    <col min="14" max="14" width="8.85546875" style="64" customWidth="1" outlineLevel="1"/>
    <col min="15" max="15" width="9" style="64" customWidth="1" outlineLevel="1"/>
    <col min="16" max="16" width="6.42578125" style="64" customWidth="1" outlineLevel="1"/>
    <col min="17" max="17" width="8.28515625" style="64" customWidth="1" outlineLevel="1"/>
    <col min="18" max="18" width="9" style="64" customWidth="1" outlineLevel="1"/>
    <col min="19" max="19" width="7.28515625" style="64" customWidth="1" outlineLevel="1"/>
    <col min="20" max="20" width="9.28515625" style="64" customWidth="1" outlineLevel="1"/>
    <col min="21" max="21" width="9" style="64" customWidth="1" outlineLevel="1"/>
    <col min="22" max="22" width="8.85546875" style="64" customWidth="1" outlineLevel="1"/>
    <col min="23" max="23" width="7.28515625" style="64" customWidth="1" outlineLevel="1"/>
    <col min="24" max="24" width="8" style="64" customWidth="1" outlineLevel="1"/>
    <col min="25" max="25" width="8.42578125" style="64" customWidth="1" outlineLevel="1"/>
    <col min="26" max="26" width="7.28515625" style="64" customWidth="1" outlineLevel="1"/>
    <col min="27" max="27" width="10.85546875" style="17" customWidth="1"/>
    <col min="28" max="28" width="9.7109375" style="17" customWidth="1" outlineLevel="1"/>
    <col min="29" max="29" width="10.85546875" style="17" customWidth="1" outlineLevel="1"/>
    <col min="30" max="30" width="8.140625" style="17" customWidth="1" outlineLevel="1"/>
    <col min="31" max="31" width="8.28515625" style="17" customWidth="1" outlineLevel="1"/>
    <col min="32" max="32" width="8.42578125" style="17" customWidth="1" outlineLevel="1"/>
    <col min="33" max="36" width="7.28515625" style="17" customWidth="1" outlineLevel="1"/>
    <col min="37" max="37" width="8.42578125" style="17" customWidth="1" outlineLevel="1"/>
    <col min="38" max="38" width="8" style="17" customWidth="1" outlineLevel="1"/>
    <col min="39" max="39" width="8.42578125" style="17" customWidth="1" outlineLevel="1"/>
    <col min="40" max="40" width="7.28515625" style="17" customWidth="1" outlineLevel="1"/>
    <col min="41" max="41" width="8.42578125" style="17" customWidth="1" outlineLevel="1"/>
    <col min="42" max="42" width="8.7109375" style="17" customWidth="1" outlineLevel="1"/>
    <col min="43" max="43" width="7.28515625" style="17" customWidth="1" outlineLevel="1"/>
    <col min="44" max="44" width="9.140625" style="64" customWidth="1" outlineLevel="1"/>
    <col min="45" max="45" width="8.7109375" style="64" customWidth="1" outlineLevel="1"/>
    <col min="46" max="46" width="8.42578125" style="64" customWidth="1" outlineLevel="1"/>
    <col min="47" max="47" width="7.28515625" style="64" customWidth="1" outlineLevel="1"/>
    <col min="48" max="49" width="8" style="64" customWidth="1" outlineLevel="1"/>
    <col min="50" max="50" width="7.28515625" style="64" customWidth="1" outlineLevel="1"/>
    <col min="51" max="51" width="6.5703125" style="17" customWidth="1"/>
    <col min="52" max="60" width="6.5703125" style="17" customWidth="1" outlineLevel="1"/>
    <col min="61" max="67" width="6.5703125" style="64" customWidth="1" outlineLevel="1"/>
    <col min="68" max="72" width="6.5703125" style="17" customWidth="1" outlineLevel="1"/>
    <col min="73" max="73" width="7.85546875" style="17" customWidth="1" outlineLevel="1"/>
    <col min="74" max="74" width="7.5703125" style="17" customWidth="1" outlineLevel="1"/>
    <col min="75" max="75" width="7.5703125" style="17" customWidth="1"/>
    <col min="76" max="16384" width="9.140625" style="17"/>
  </cols>
  <sheetData>
    <row r="1" spans="1:74" ht="15" customHeight="1" x14ac:dyDescent="0.25">
      <c r="A1" s="347"/>
      <c r="B1" s="347"/>
      <c r="Q1" s="348"/>
      <c r="R1" s="348"/>
      <c r="S1" s="348"/>
      <c r="X1" s="348"/>
      <c r="Y1" s="348"/>
      <c r="Z1" s="348"/>
      <c r="AV1" s="348"/>
      <c r="AW1" s="348"/>
      <c r="AX1" s="348"/>
      <c r="BM1" s="348"/>
      <c r="BN1" s="348"/>
      <c r="BO1" s="348"/>
      <c r="BS1" s="35" t="s">
        <v>122</v>
      </c>
    </row>
    <row r="2" spans="1:74" x14ac:dyDescent="0.25">
      <c r="A2" s="114"/>
    </row>
    <row r="3" spans="1:74" x14ac:dyDescent="0.25">
      <c r="A3" s="346" t="s">
        <v>650</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row>
    <row r="4" spans="1:74" x14ac:dyDescent="0.25">
      <c r="A4" s="349" t="s">
        <v>551</v>
      </c>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row>
    <row r="5" spans="1:74" hidden="1" x14ac:dyDescent="0.25">
      <c r="B5" s="115"/>
      <c r="AF5" s="121"/>
    </row>
    <row r="6" spans="1:74" x14ac:dyDescent="0.25">
      <c r="B6" s="115"/>
      <c r="R6" s="247"/>
      <c r="S6" s="247"/>
      <c r="Y6" s="247"/>
      <c r="Z6" s="247"/>
      <c r="AB6" s="121"/>
      <c r="AW6" s="247"/>
      <c r="AX6" s="247"/>
      <c r="BN6" s="247"/>
      <c r="BO6" s="247"/>
      <c r="BU6" s="349" t="s">
        <v>1</v>
      </c>
      <c r="BV6" s="349"/>
    </row>
    <row r="7" spans="1:74" s="116" customFormat="1" ht="24.75" customHeight="1" x14ac:dyDescent="0.25">
      <c r="A7" s="350" t="s">
        <v>2</v>
      </c>
      <c r="B7" s="350" t="s">
        <v>123</v>
      </c>
      <c r="C7" s="351" t="s">
        <v>651</v>
      </c>
      <c r="D7" s="352"/>
      <c r="E7" s="352"/>
      <c r="F7" s="352"/>
      <c r="G7" s="352"/>
      <c r="H7" s="352"/>
      <c r="I7" s="352"/>
      <c r="J7" s="352"/>
      <c r="K7" s="352"/>
      <c r="L7" s="352"/>
      <c r="M7" s="352"/>
      <c r="N7" s="352"/>
      <c r="O7" s="352"/>
      <c r="P7" s="352"/>
      <c r="Q7" s="352"/>
      <c r="R7" s="352"/>
      <c r="S7" s="352"/>
      <c r="T7" s="352"/>
      <c r="U7" s="352"/>
      <c r="V7" s="352"/>
      <c r="W7" s="352"/>
      <c r="X7" s="352"/>
      <c r="Y7" s="352"/>
      <c r="Z7" s="353"/>
      <c r="AA7" s="354" t="s">
        <v>5</v>
      </c>
      <c r="AB7" s="355"/>
      <c r="AC7" s="355"/>
      <c r="AD7" s="355"/>
      <c r="AE7" s="355"/>
      <c r="AF7" s="355"/>
      <c r="AG7" s="355"/>
      <c r="AH7" s="355"/>
      <c r="AI7" s="355"/>
      <c r="AJ7" s="355"/>
      <c r="AK7" s="355"/>
      <c r="AL7" s="355"/>
      <c r="AM7" s="355"/>
      <c r="AN7" s="355"/>
      <c r="AO7" s="355"/>
      <c r="AP7" s="355"/>
      <c r="AQ7" s="355"/>
      <c r="AR7" s="355"/>
      <c r="AS7" s="355"/>
      <c r="AT7" s="355"/>
      <c r="AU7" s="355"/>
      <c r="AV7" s="355"/>
      <c r="AW7" s="355"/>
      <c r="AX7" s="356"/>
      <c r="AY7" s="357" t="s">
        <v>6</v>
      </c>
      <c r="AZ7" s="357"/>
      <c r="BA7" s="357"/>
      <c r="BB7" s="357"/>
      <c r="BC7" s="357"/>
      <c r="BD7" s="357"/>
      <c r="BE7" s="357"/>
      <c r="BF7" s="357"/>
      <c r="BG7" s="357"/>
      <c r="BH7" s="357"/>
      <c r="BI7" s="357"/>
      <c r="BJ7" s="357"/>
      <c r="BK7" s="357"/>
      <c r="BL7" s="357"/>
      <c r="BM7" s="357"/>
      <c r="BN7" s="357"/>
      <c r="BO7" s="357"/>
      <c r="BP7" s="357"/>
      <c r="BQ7" s="357"/>
      <c r="BR7" s="357"/>
      <c r="BS7" s="357"/>
      <c r="BT7" s="357"/>
      <c r="BU7" s="357"/>
      <c r="BV7" s="357"/>
    </row>
    <row r="8" spans="1:74" ht="56.25" customHeight="1" x14ac:dyDescent="0.25">
      <c r="A8" s="350"/>
      <c r="B8" s="350"/>
      <c r="C8" s="338" t="s">
        <v>110</v>
      </c>
      <c r="D8" s="338" t="s">
        <v>124</v>
      </c>
      <c r="E8" s="338"/>
      <c r="F8" s="338" t="s">
        <v>129</v>
      </c>
      <c r="G8" s="338"/>
      <c r="H8" s="338"/>
      <c r="I8" s="338"/>
      <c r="J8" s="338"/>
      <c r="K8" s="338"/>
      <c r="L8" s="338"/>
      <c r="M8" s="338" t="s">
        <v>130</v>
      </c>
      <c r="N8" s="338"/>
      <c r="O8" s="338"/>
      <c r="P8" s="338"/>
      <c r="Q8" s="338"/>
      <c r="R8" s="338"/>
      <c r="S8" s="338"/>
      <c r="T8" s="338" t="s">
        <v>564</v>
      </c>
      <c r="U8" s="338"/>
      <c r="V8" s="338"/>
      <c r="W8" s="338"/>
      <c r="X8" s="338"/>
      <c r="Y8" s="338"/>
      <c r="Z8" s="338"/>
      <c r="AA8" s="350" t="s">
        <v>110</v>
      </c>
      <c r="AB8" s="350" t="s">
        <v>124</v>
      </c>
      <c r="AC8" s="350"/>
      <c r="AD8" s="338" t="s">
        <v>129</v>
      </c>
      <c r="AE8" s="338"/>
      <c r="AF8" s="338"/>
      <c r="AG8" s="338"/>
      <c r="AH8" s="338"/>
      <c r="AI8" s="338"/>
      <c r="AJ8" s="338"/>
      <c r="AK8" s="338" t="s">
        <v>130</v>
      </c>
      <c r="AL8" s="338"/>
      <c r="AM8" s="338"/>
      <c r="AN8" s="338"/>
      <c r="AO8" s="338"/>
      <c r="AP8" s="338"/>
      <c r="AQ8" s="338"/>
      <c r="AR8" s="338" t="s">
        <v>564</v>
      </c>
      <c r="AS8" s="338"/>
      <c r="AT8" s="338"/>
      <c r="AU8" s="338"/>
      <c r="AV8" s="338"/>
      <c r="AW8" s="338"/>
      <c r="AX8" s="338"/>
      <c r="AY8" s="350" t="s">
        <v>110</v>
      </c>
      <c r="AZ8" s="350" t="s">
        <v>124</v>
      </c>
      <c r="BA8" s="350"/>
      <c r="BB8" s="338" t="s">
        <v>129</v>
      </c>
      <c r="BC8" s="338"/>
      <c r="BD8" s="338"/>
      <c r="BE8" s="338"/>
      <c r="BF8" s="338"/>
      <c r="BG8" s="338"/>
      <c r="BH8" s="338"/>
      <c r="BI8" s="338" t="s">
        <v>130</v>
      </c>
      <c r="BJ8" s="338"/>
      <c r="BK8" s="338"/>
      <c r="BL8" s="338"/>
      <c r="BM8" s="338"/>
      <c r="BN8" s="338"/>
      <c r="BO8" s="338"/>
      <c r="BP8" s="338" t="s">
        <v>564</v>
      </c>
      <c r="BQ8" s="338"/>
      <c r="BR8" s="338"/>
      <c r="BS8" s="338"/>
      <c r="BT8" s="338"/>
      <c r="BU8" s="338"/>
      <c r="BV8" s="338"/>
    </row>
    <row r="9" spans="1:74" ht="19.5" customHeight="1" x14ac:dyDescent="0.25">
      <c r="A9" s="350"/>
      <c r="B9" s="350"/>
      <c r="C9" s="338"/>
      <c r="D9" s="359" t="s">
        <v>125</v>
      </c>
      <c r="E9" s="359" t="s">
        <v>126</v>
      </c>
      <c r="F9" s="338" t="s">
        <v>110</v>
      </c>
      <c r="G9" s="359" t="s">
        <v>125</v>
      </c>
      <c r="H9" s="359"/>
      <c r="I9" s="359"/>
      <c r="J9" s="359" t="s">
        <v>126</v>
      </c>
      <c r="K9" s="359"/>
      <c r="L9" s="359"/>
      <c r="M9" s="338" t="s">
        <v>110</v>
      </c>
      <c r="N9" s="359" t="s">
        <v>125</v>
      </c>
      <c r="O9" s="359"/>
      <c r="P9" s="359"/>
      <c r="Q9" s="359" t="s">
        <v>126</v>
      </c>
      <c r="R9" s="359"/>
      <c r="S9" s="359"/>
      <c r="T9" s="338" t="s">
        <v>110</v>
      </c>
      <c r="U9" s="359" t="s">
        <v>125</v>
      </c>
      <c r="V9" s="359"/>
      <c r="W9" s="359"/>
      <c r="X9" s="359" t="s">
        <v>126</v>
      </c>
      <c r="Y9" s="359"/>
      <c r="Z9" s="359"/>
      <c r="AA9" s="350"/>
      <c r="AB9" s="358" t="s">
        <v>125</v>
      </c>
      <c r="AC9" s="358" t="s">
        <v>126</v>
      </c>
      <c r="AD9" s="350" t="s">
        <v>110</v>
      </c>
      <c r="AE9" s="358" t="s">
        <v>125</v>
      </c>
      <c r="AF9" s="358"/>
      <c r="AG9" s="358"/>
      <c r="AH9" s="358" t="s">
        <v>126</v>
      </c>
      <c r="AI9" s="358"/>
      <c r="AJ9" s="358"/>
      <c r="AK9" s="350" t="s">
        <v>110</v>
      </c>
      <c r="AL9" s="358" t="s">
        <v>125</v>
      </c>
      <c r="AM9" s="358"/>
      <c r="AN9" s="358"/>
      <c r="AO9" s="358" t="s">
        <v>126</v>
      </c>
      <c r="AP9" s="358"/>
      <c r="AQ9" s="358"/>
      <c r="AR9" s="338" t="s">
        <v>110</v>
      </c>
      <c r="AS9" s="359" t="s">
        <v>125</v>
      </c>
      <c r="AT9" s="359"/>
      <c r="AU9" s="359"/>
      <c r="AV9" s="359" t="s">
        <v>126</v>
      </c>
      <c r="AW9" s="359"/>
      <c r="AX9" s="359"/>
      <c r="AY9" s="350"/>
      <c r="AZ9" s="358" t="s">
        <v>125</v>
      </c>
      <c r="BA9" s="358" t="s">
        <v>126</v>
      </c>
      <c r="BB9" s="350" t="s">
        <v>110</v>
      </c>
      <c r="BC9" s="358" t="s">
        <v>125</v>
      </c>
      <c r="BD9" s="358"/>
      <c r="BE9" s="358"/>
      <c r="BF9" s="358" t="s">
        <v>126</v>
      </c>
      <c r="BG9" s="358"/>
      <c r="BH9" s="358"/>
      <c r="BI9" s="338" t="s">
        <v>110</v>
      </c>
      <c r="BJ9" s="359" t="s">
        <v>125</v>
      </c>
      <c r="BK9" s="359"/>
      <c r="BL9" s="359"/>
      <c r="BM9" s="359" t="s">
        <v>126</v>
      </c>
      <c r="BN9" s="359"/>
      <c r="BO9" s="359"/>
      <c r="BP9" s="350" t="s">
        <v>110</v>
      </c>
      <c r="BQ9" s="358" t="s">
        <v>125</v>
      </c>
      <c r="BR9" s="358"/>
      <c r="BS9" s="358"/>
      <c r="BT9" s="358" t="s">
        <v>126</v>
      </c>
      <c r="BU9" s="358"/>
      <c r="BV9" s="358"/>
    </row>
    <row r="10" spans="1:74" ht="46.5" customHeight="1" x14ac:dyDescent="0.25">
      <c r="A10" s="350"/>
      <c r="B10" s="350"/>
      <c r="C10" s="338"/>
      <c r="D10" s="359"/>
      <c r="E10" s="359"/>
      <c r="F10" s="338"/>
      <c r="G10" s="117" t="s">
        <v>110</v>
      </c>
      <c r="H10" s="117" t="s">
        <v>127</v>
      </c>
      <c r="I10" s="117" t="s">
        <v>128</v>
      </c>
      <c r="J10" s="117" t="s">
        <v>110</v>
      </c>
      <c r="K10" s="117" t="s">
        <v>127</v>
      </c>
      <c r="L10" s="117" t="s">
        <v>128</v>
      </c>
      <c r="M10" s="338"/>
      <c r="N10" s="117" t="s">
        <v>110</v>
      </c>
      <c r="O10" s="117" t="s">
        <v>127</v>
      </c>
      <c r="P10" s="117" t="s">
        <v>128</v>
      </c>
      <c r="Q10" s="117" t="s">
        <v>110</v>
      </c>
      <c r="R10" s="117" t="s">
        <v>127</v>
      </c>
      <c r="S10" s="117" t="s">
        <v>128</v>
      </c>
      <c r="T10" s="338"/>
      <c r="U10" s="117" t="s">
        <v>110</v>
      </c>
      <c r="V10" s="117" t="s">
        <v>127</v>
      </c>
      <c r="W10" s="117" t="s">
        <v>128</v>
      </c>
      <c r="X10" s="117" t="s">
        <v>110</v>
      </c>
      <c r="Y10" s="117" t="s">
        <v>127</v>
      </c>
      <c r="Z10" s="117" t="s">
        <v>128</v>
      </c>
      <c r="AA10" s="350"/>
      <c r="AB10" s="358"/>
      <c r="AC10" s="358"/>
      <c r="AD10" s="350"/>
      <c r="AE10" s="118" t="s">
        <v>110</v>
      </c>
      <c r="AF10" s="118" t="s">
        <v>127</v>
      </c>
      <c r="AG10" s="118" t="s">
        <v>128</v>
      </c>
      <c r="AH10" s="118" t="s">
        <v>110</v>
      </c>
      <c r="AI10" s="118" t="s">
        <v>127</v>
      </c>
      <c r="AJ10" s="118" t="s">
        <v>128</v>
      </c>
      <c r="AK10" s="350"/>
      <c r="AL10" s="118" t="s">
        <v>110</v>
      </c>
      <c r="AM10" s="118" t="s">
        <v>127</v>
      </c>
      <c r="AN10" s="118" t="s">
        <v>128</v>
      </c>
      <c r="AO10" s="118" t="s">
        <v>110</v>
      </c>
      <c r="AP10" s="118" t="s">
        <v>127</v>
      </c>
      <c r="AQ10" s="118" t="s">
        <v>128</v>
      </c>
      <c r="AR10" s="338"/>
      <c r="AS10" s="117" t="s">
        <v>110</v>
      </c>
      <c r="AT10" s="117" t="s">
        <v>127</v>
      </c>
      <c r="AU10" s="117" t="s">
        <v>128</v>
      </c>
      <c r="AV10" s="117" t="s">
        <v>110</v>
      </c>
      <c r="AW10" s="117" t="s">
        <v>127</v>
      </c>
      <c r="AX10" s="117" t="s">
        <v>128</v>
      </c>
      <c r="AY10" s="350"/>
      <c r="AZ10" s="358"/>
      <c r="BA10" s="358"/>
      <c r="BB10" s="350"/>
      <c r="BC10" s="118" t="s">
        <v>110</v>
      </c>
      <c r="BD10" s="118" t="s">
        <v>127</v>
      </c>
      <c r="BE10" s="118" t="s">
        <v>128</v>
      </c>
      <c r="BF10" s="118" t="s">
        <v>110</v>
      </c>
      <c r="BG10" s="118" t="s">
        <v>127</v>
      </c>
      <c r="BH10" s="118" t="s">
        <v>128</v>
      </c>
      <c r="BI10" s="338"/>
      <c r="BJ10" s="117" t="s">
        <v>110</v>
      </c>
      <c r="BK10" s="117" t="s">
        <v>127</v>
      </c>
      <c r="BL10" s="117" t="s">
        <v>128</v>
      </c>
      <c r="BM10" s="117" t="s">
        <v>110</v>
      </c>
      <c r="BN10" s="117" t="s">
        <v>127</v>
      </c>
      <c r="BO10" s="117" t="s">
        <v>128</v>
      </c>
      <c r="BP10" s="350"/>
      <c r="BQ10" s="118" t="s">
        <v>110</v>
      </c>
      <c r="BR10" s="118" t="s">
        <v>127</v>
      </c>
      <c r="BS10" s="118" t="s">
        <v>128</v>
      </c>
      <c r="BT10" s="118" t="s">
        <v>110</v>
      </c>
      <c r="BU10" s="118" t="s">
        <v>127</v>
      </c>
      <c r="BV10" s="118" t="s">
        <v>128</v>
      </c>
    </row>
    <row r="11" spans="1:74" ht="34.5" customHeight="1" x14ac:dyDescent="0.25">
      <c r="A11" s="118" t="s">
        <v>7</v>
      </c>
      <c r="B11" s="118" t="s">
        <v>8</v>
      </c>
      <c r="C11" s="117" t="s">
        <v>60</v>
      </c>
      <c r="D11" s="117" t="s">
        <v>652</v>
      </c>
      <c r="E11" s="117" t="s">
        <v>653</v>
      </c>
      <c r="F11" s="117" t="s">
        <v>654</v>
      </c>
      <c r="G11" s="117" t="s">
        <v>655</v>
      </c>
      <c r="H11" s="117">
        <v>6</v>
      </c>
      <c r="I11" s="117">
        <v>7</v>
      </c>
      <c r="J11" s="117" t="s">
        <v>656</v>
      </c>
      <c r="K11" s="117">
        <v>9</v>
      </c>
      <c r="L11" s="117">
        <v>10</v>
      </c>
      <c r="M11" s="117" t="s">
        <v>657</v>
      </c>
      <c r="N11" s="117" t="s">
        <v>658</v>
      </c>
      <c r="O11" s="117">
        <v>13</v>
      </c>
      <c r="P11" s="117">
        <v>14</v>
      </c>
      <c r="Q11" s="117" t="s">
        <v>659</v>
      </c>
      <c r="R11" s="117">
        <v>16</v>
      </c>
      <c r="S11" s="117">
        <v>17</v>
      </c>
      <c r="T11" s="117" t="s">
        <v>660</v>
      </c>
      <c r="U11" s="117" t="s">
        <v>661</v>
      </c>
      <c r="V11" s="117">
        <v>20</v>
      </c>
      <c r="W11" s="117">
        <v>21</v>
      </c>
      <c r="X11" s="117" t="s">
        <v>662</v>
      </c>
      <c r="Y11" s="117">
        <v>23</v>
      </c>
      <c r="Z11" s="117">
        <v>24</v>
      </c>
      <c r="AA11" s="117" t="s">
        <v>663</v>
      </c>
      <c r="AB11" s="117" t="s">
        <v>664</v>
      </c>
      <c r="AC11" s="117" t="s">
        <v>665</v>
      </c>
      <c r="AD11" s="117" t="s">
        <v>666</v>
      </c>
      <c r="AE11" s="117" t="s">
        <v>667</v>
      </c>
      <c r="AF11" s="117">
        <v>30</v>
      </c>
      <c r="AG11" s="117">
        <v>31</v>
      </c>
      <c r="AH11" s="117" t="s">
        <v>668</v>
      </c>
      <c r="AI11" s="117">
        <v>33</v>
      </c>
      <c r="AJ11" s="117">
        <v>34</v>
      </c>
      <c r="AK11" s="117" t="s">
        <v>669</v>
      </c>
      <c r="AL11" s="117" t="s">
        <v>670</v>
      </c>
      <c r="AM11" s="117">
        <v>37</v>
      </c>
      <c r="AN11" s="117">
        <v>38</v>
      </c>
      <c r="AO11" s="117" t="s">
        <v>671</v>
      </c>
      <c r="AP11" s="117">
        <v>40</v>
      </c>
      <c r="AQ11" s="117">
        <v>41</v>
      </c>
      <c r="AR11" s="117" t="s">
        <v>672</v>
      </c>
      <c r="AS11" s="117" t="s">
        <v>673</v>
      </c>
      <c r="AT11" s="117">
        <v>44</v>
      </c>
      <c r="AU11" s="117">
        <v>45</v>
      </c>
      <c r="AV11" s="117" t="s">
        <v>674</v>
      </c>
      <c r="AW11" s="117">
        <v>47</v>
      </c>
      <c r="AX11" s="117">
        <v>48</v>
      </c>
      <c r="AY11" s="118" t="s">
        <v>675</v>
      </c>
      <c r="AZ11" s="118" t="s">
        <v>676</v>
      </c>
      <c r="BA11" s="118" t="s">
        <v>677</v>
      </c>
      <c r="BB11" s="118" t="s">
        <v>678</v>
      </c>
      <c r="BC11" s="118" t="s">
        <v>679</v>
      </c>
      <c r="BD11" s="118" t="s">
        <v>680</v>
      </c>
      <c r="BE11" s="118" t="s">
        <v>681</v>
      </c>
      <c r="BF11" s="118" t="s">
        <v>682</v>
      </c>
      <c r="BG11" s="118" t="s">
        <v>683</v>
      </c>
      <c r="BH11" s="118" t="s">
        <v>684</v>
      </c>
      <c r="BI11" s="117" t="s">
        <v>685</v>
      </c>
      <c r="BJ11" s="117" t="s">
        <v>686</v>
      </c>
      <c r="BK11" s="117" t="s">
        <v>687</v>
      </c>
      <c r="BL11" s="117" t="s">
        <v>688</v>
      </c>
      <c r="BM11" s="117" t="s">
        <v>689</v>
      </c>
      <c r="BN11" s="117" t="s">
        <v>690</v>
      </c>
      <c r="BO11" s="117" t="s">
        <v>691</v>
      </c>
      <c r="BP11" s="118" t="s">
        <v>692</v>
      </c>
      <c r="BQ11" s="118" t="s">
        <v>693</v>
      </c>
      <c r="BR11" s="118" t="s">
        <v>694</v>
      </c>
      <c r="BS11" s="118" t="s">
        <v>695</v>
      </c>
      <c r="BT11" s="118" t="s">
        <v>696</v>
      </c>
      <c r="BU11" s="118" t="s">
        <v>697</v>
      </c>
      <c r="BV11" s="118" t="s">
        <v>698</v>
      </c>
    </row>
    <row r="12" spans="1:74" x14ac:dyDescent="0.25">
      <c r="A12" s="139"/>
      <c r="B12" s="140" t="s">
        <v>98</v>
      </c>
      <c r="C12" s="141">
        <f>C13+C42</f>
        <v>898432</v>
      </c>
      <c r="D12" s="141">
        <f t="shared" ref="D12:Z12" si="0">D13+D42</f>
        <v>672411</v>
      </c>
      <c r="E12" s="141">
        <f t="shared" si="0"/>
        <v>226021</v>
      </c>
      <c r="F12" s="141">
        <f t="shared" si="0"/>
        <v>161210</v>
      </c>
      <c r="G12" s="141">
        <f t="shared" si="0"/>
        <v>135050</v>
      </c>
      <c r="H12" s="141">
        <f t="shared" si="0"/>
        <v>135050</v>
      </c>
      <c r="I12" s="141">
        <f t="shared" si="0"/>
        <v>0</v>
      </c>
      <c r="J12" s="141">
        <f t="shared" si="0"/>
        <v>26160</v>
      </c>
      <c r="K12" s="141">
        <f t="shared" si="0"/>
        <v>26160</v>
      </c>
      <c r="L12" s="141">
        <f t="shared" si="0"/>
        <v>0</v>
      </c>
      <c r="M12" s="141">
        <f t="shared" si="0"/>
        <v>265917</v>
      </c>
      <c r="N12" s="141">
        <f t="shared" si="0"/>
        <v>213436</v>
      </c>
      <c r="O12" s="141">
        <f t="shared" si="0"/>
        <v>213436</v>
      </c>
      <c r="P12" s="141">
        <f t="shared" si="0"/>
        <v>0</v>
      </c>
      <c r="Q12" s="141">
        <f t="shared" si="0"/>
        <v>52481</v>
      </c>
      <c r="R12" s="141">
        <f t="shared" si="0"/>
        <v>52481</v>
      </c>
      <c r="S12" s="141">
        <f t="shared" si="0"/>
        <v>0</v>
      </c>
      <c r="T12" s="141">
        <f t="shared" si="0"/>
        <v>471305</v>
      </c>
      <c r="U12" s="141">
        <f t="shared" si="0"/>
        <v>323925</v>
      </c>
      <c r="V12" s="141">
        <f t="shared" si="0"/>
        <v>323925</v>
      </c>
      <c r="W12" s="141">
        <f t="shared" si="0"/>
        <v>0</v>
      </c>
      <c r="X12" s="141">
        <f t="shared" si="0"/>
        <v>147380</v>
      </c>
      <c r="Y12" s="141">
        <f t="shared" si="0"/>
        <v>147380</v>
      </c>
      <c r="Z12" s="141">
        <f t="shared" si="0"/>
        <v>0</v>
      </c>
      <c r="AA12" s="141">
        <f>AA13+AA42</f>
        <v>307765.92214800004</v>
      </c>
      <c r="AB12" s="141">
        <f t="shared" ref="AB12:AC12" si="1">AB13+AB42</f>
        <v>236449.44658800002</v>
      </c>
      <c r="AC12" s="141">
        <f t="shared" si="1"/>
        <v>71316.475559999992</v>
      </c>
      <c r="AD12" s="141">
        <f>AD13+AD42</f>
        <v>92094.31191400002</v>
      </c>
      <c r="AE12" s="141">
        <f t="shared" ref="AE12:AX12" si="2">AE13+AE42</f>
        <v>82480.322801000002</v>
      </c>
      <c r="AF12" s="141">
        <f t="shared" si="2"/>
        <v>82480.322801000002</v>
      </c>
      <c r="AG12" s="141">
        <f t="shared" si="2"/>
        <v>0</v>
      </c>
      <c r="AH12" s="141">
        <f t="shared" si="2"/>
        <v>9613.9891129999996</v>
      </c>
      <c r="AI12" s="141">
        <f t="shared" si="2"/>
        <v>9613.9891129999996</v>
      </c>
      <c r="AJ12" s="141">
        <f t="shared" si="2"/>
        <v>0</v>
      </c>
      <c r="AK12" s="141">
        <f t="shared" si="2"/>
        <v>76617.220791999993</v>
      </c>
      <c r="AL12" s="141">
        <f t="shared" si="2"/>
        <v>60058.304671000005</v>
      </c>
      <c r="AM12" s="141">
        <f t="shared" si="2"/>
        <v>60058.304671000005</v>
      </c>
      <c r="AN12" s="141">
        <f t="shared" si="2"/>
        <v>0</v>
      </c>
      <c r="AO12" s="141">
        <f t="shared" si="2"/>
        <v>16558.916121000002</v>
      </c>
      <c r="AP12" s="141">
        <f t="shared" si="2"/>
        <v>16558.916121000002</v>
      </c>
      <c r="AQ12" s="141">
        <f t="shared" si="2"/>
        <v>0</v>
      </c>
      <c r="AR12" s="141">
        <f t="shared" si="2"/>
        <v>139054.38944200001</v>
      </c>
      <c r="AS12" s="141">
        <f t="shared" si="2"/>
        <v>93910.819115999999</v>
      </c>
      <c r="AT12" s="141">
        <f t="shared" si="2"/>
        <v>93910.819115999999</v>
      </c>
      <c r="AU12" s="141">
        <f t="shared" si="2"/>
        <v>0</v>
      </c>
      <c r="AV12" s="141">
        <f t="shared" si="2"/>
        <v>45143.570326000001</v>
      </c>
      <c r="AW12" s="141">
        <f t="shared" si="2"/>
        <v>45143.570326000001</v>
      </c>
      <c r="AX12" s="141">
        <f t="shared" si="2"/>
        <v>0</v>
      </c>
      <c r="AY12" s="302">
        <f>AA12/C12</f>
        <v>0.34255894953429983</v>
      </c>
      <c r="AZ12" s="302">
        <f t="shared" ref="AZ12:BN27" si="3">AB12/D12</f>
        <v>0.35164422739663692</v>
      </c>
      <c r="BA12" s="302">
        <f t="shared" si="3"/>
        <v>0.31553030718384573</v>
      </c>
      <c r="BB12" s="302">
        <f t="shared" si="3"/>
        <v>0.5712692259413189</v>
      </c>
      <c r="BC12" s="302">
        <f t="shared" si="3"/>
        <v>0.61073915439466864</v>
      </c>
      <c r="BD12" s="302">
        <f t="shared" si="3"/>
        <v>0.61073915439466864</v>
      </c>
      <c r="BE12" s="302"/>
      <c r="BF12" s="302">
        <f t="shared" si="3"/>
        <v>0.36750722909021405</v>
      </c>
      <c r="BG12" s="302">
        <f t="shared" si="3"/>
        <v>0.36750722909021405</v>
      </c>
      <c r="BH12" s="302"/>
      <c r="BI12" s="302">
        <f t="shared" si="3"/>
        <v>0.28812456816224608</v>
      </c>
      <c r="BJ12" s="302">
        <f t="shared" si="3"/>
        <v>0.28138788522554775</v>
      </c>
      <c r="BK12" s="302">
        <f t="shared" si="3"/>
        <v>0.28138788522554775</v>
      </c>
      <c r="BL12" s="302"/>
      <c r="BM12" s="302">
        <f t="shared" si="3"/>
        <v>0.31552211507021594</v>
      </c>
      <c r="BN12" s="302">
        <f t="shared" si="3"/>
        <v>0.31552211507021594</v>
      </c>
      <c r="BO12" s="302"/>
      <c r="BP12" s="302">
        <f t="shared" ref="BP12:BU27" si="4">AR12/T12</f>
        <v>0.29504119294724224</v>
      </c>
      <c r="BQ12" s="302">
        <f t="shared" si="4"/>
        <v>0.28991531717527202</v>
      </c>
      <c r="BR12" s="302">
        <f t="shared" si="4"/>
        <v>0.28991531717527202</v>
      </c>
      <c r="BS12" s="302"/>
      <c r="BT12" s="302">
        <f t="shared" si="4"/>
        <v>0.3063073030669019</v>
      </c>
      <c r="BU12" s="302">
        <f t="shared" si="4"/>
        <v>0.3063073030669019</v>
      </c>
      <c r="BV12" s="302"/>
    </row>
    <row r="13" spans="1:74" x14ac:dyDescent="0.25">
      <c r="A13" s="61" t="s">
        <v>39</v>
      </c>
      <c r="B13" s="62" t="s">
        <v>250</v>
      </c>
      <c r="C13" s="142">
        <f>SUM(C14:C41)</f>
        <v>125321</v>
      </c>
      <c r="D13" s="142">
        <f t="shared" ref="D13:AX13" si="5">SUM(D14:D41)</f>
        <v>64911</v>
      </c>
      <c r="E13" s="142">
        <f t="shared" si="5"/>
        <v>60410</v>
      </c>
      <c r="F13" s="142">
        <f t="shared" si="5"/>
        <v>7230</v>
      </c>
      <c r="G13" s="142">
        <f t="shared" si="5"/>
        <v>0</v>
      </c>
      <c r="H13" s="142">
        <f t="shared" si="5"/>
        <v>0</v>
      </c>
      <c r="I13" s="142">
        <f t="shared" si="5"/>
        <v>0</v>
      </c>
      <c r="J13" s="142">
        <f t="shared" si="5"/>
        <v>7230</v>
      </c>
      <c r="K13" s="142">
        <f t="shared" si="5"/>
        <v>7230</v>
      </c>
      <c r="L13" s="142">
        <f t="shared" si="5"/>
        <v>0</v>
      </c>
      <c r="M13" s="142">
        <f t="shared" si="5"/>
        <v>27724</v>
      </c>
      <c r="N13" s="142">
        <f t="shared" si="5"/>
        <v>22417</v>
      </c>
      <c r="O13" s="142">
        <f t="shared" si="5"/>
        <v>22417</v>
      </c>
      <c r="P13" s="142">
        <f t="shared" si="5"/>
        <v>0</v>
      </c>
      <c r="Q13" s="142">
        <f t="shared" si="5"/>
        <v>5307</v>
      </c>
      <c r="R13" s="142">
        <f t="shared" si="5"/>
        <v>5307</v>
      </c>
      <c r="S13" s="142">
        <f t="shared" si="5"/>
        <v>0</v>
      </c>
      <c r="T13" s="142">
        <f t="shared" si="5"/>
        <v>90367</v>
      </c>
      <c r="U13" s="142">
        <f t="shared" si="5"/>
        <v>42494</v>
      </c>
      <c r="V13" s="142">
        <f t="shared" si="5"/>
        <v>42494</v>
      </c>
      <c r="W13" s="142">
        <f t="shared" si="5"/>
        <v>0</v>
      </c>
      <c r="X13" s="142">
        <f t="shared" si="5"/>
        <v>47873</v>
      </c>
      <c r="Y13" s="142">
        <f t="shared" si="5"/>
        <v>47873</v>
      </c>
      <c r="Z13" s="142">
        <f t="shared" si="5"/>
        <v>0</v>
      </c>
      <c r="AA13" s="142">
        <f t="shared" si="5"/>
        <v>27309.388468999994</v>
      </c>
      <c r="AB13" s="142">
        <f t="shared" si="5"/>
        <v>3304.3563709999999</v>
      </c>
      <c r="AC13" s="142">
        <f>SUM(AC14:AC41)</f>
        <v>24005.032097999992</v>
      </c>
      <c r="AD13" s="142">
        <f t="shared" si="5"/>
        <v>2352.9217040000003</v>
      </c>
      <c r="AE13" s="142">
        <f t="shared" si="5"/>
        <v>0</v>
      </c>
      <c r="AF13" s="142">
        <f t="shared" si="5"/>
        <v>0</v>
      </c>
      <c r="AG13" s="142">
        <f t="shared" si="5"/>
        <v>0</v>
      </c>
      <c r="AH13" s="142">
        <f t="shared" si="5"/>
        <v>2352.9217040000003</v>
      </c>
      <c r="AI13" s="142">
        <f t="shared" si="5"/>
        <v>2352.9217040000003</v>
      </c>
      <c r="AJ13" s="142">
        <f t="shared" si="5"/>
        <v>0</v>
      </c>
      <c r="AK13" s="142">
        <f t="shared" si="5"/>
        <v>6694.0690869999989</v>
      </c>
      <c r="AL13" s="142">
        <f>SUM(AL14:AL41)</f>
        <v>3304.3563709999999</v>
      </c>
      <c r="AM13" s="142">
        <f t="shared" si="5"/>
        <v>3304.3563709999999</v>
      </c>
      <c r="AN13" s="142">
        <f t="shared" si="5"/>
        <v>0</v>
      </c>
      <c r="AO13" s="142">
        <f t="shared" si="5"/>
        <v>3389.712716</v>
      </c>
      <c r="AP13" s="142">
        <f t="shared" si="5"/>
        <v>3389.712716</v>
      </c>
      <c r="AQ13" s="142">
        <f t="shared" si="5"/>
        <v>0</v>
      </c>
      <c r="AR13" s="142">
        <f t="shared" si="5"/>
        <v>18262.397677999998</v>
      </c>
      <c r="AS13" s="142">
        <f t="shared" si="5"/>
        <v>0</v>
      </c>
      <c r="AT13" s="142">
        <f t="shared" si="5"/>
        <v>0</v>
      </c>
      <c r="AU13" s="142">
        <f t="shared" si="5"/>
        <v>0</v>
      </c>
      <c r="AV13" s="142">
        <f t="shared" si="5"/>
        <v>18262.397677999998</v>
      </c>
      <c r="AW13" s="142">
        <f t="shared" si="5"/>
        <v>18262.397677999998</v>
      </c>
      <c r="AX13" s="142">
        <f t="shared" si="5"/>
        <v>0</v>
      </c>
      <c r="AY13" s="303">
        <f>AA13/C13</f>
        <v>0.21791550074608401</v>
      </c>
      <c r="AZ13" s="303">
        <f t="shared" si="3"/>
        <v>5.0905953859900474E-2</v>
      </c>
      <c r="BA13" s="303">
        <f t="shared" si="3"/>
        <v>0.39736851676874679</v>
      </c>
      <c r="BB13" s="303">
        <f t="shared" si="3"/>
        <v>0.32543868658367914</v>
      </c>
      <c r="BC13" s="303"/>
      <c r="BD13" s="303"/>
      <c r="BE13" s="303"/>
      <c r="BF13" s="303">
        <f t="shared" si="3"/>
        <v>0.32543868658367914</v>
      </c>
      <c r="BG13" s="303">
        <f t="shared" si="3"/>
        <v>0.32543868658367914</v>
      </c>
      <c r="BH13" s="303"/>
      <c r="BI13" s="303">
        <f t="shared" si="3"/>
        <v>0.24145394196364156</v>
      </c>
      <c r="BJ13" s="303">
        <f t="shared" si="3"/>
        <v>0.14740404028192888</v>
      </c>
      <c r="BK13" s="303">
        <f t="shared" si="3"/>
        <v>0.14740404028192888</v>
      </c>
      <c r="BL13" s="303"/>
      <c r="BM13" s="303">
        <f t="shared" si="3"/>
        <v>0.63872483813830794</v>
      </c>
      <c r="BN13" s="303">
        <f t="shared" si="3"/>
        <v>0.63872483813830794</v>
      </c>
      <c r="BO13" s="303"/>
      <c r="BP13" s="303">
        <f t="shared" si="4"/>
        <v>0.20209144574900126</v>
      </c>
      <c r="BQ13" s="303">
        <f t="shared" si="4"/>
        <v>0</v>
      </c>
      <c r="BR13" s="303">
        <f t="shared" si="4"/>
        <v>0</v>
      </c>
      <c r="BS13" s="303"/>
      <c r="BT13" s="303">
        <f t="shared" si="4"/>
        <v>0.3814759400497148</v>
      </c>
      <c r="BU13" s="303">
        <f t="shared" si="4"/>
        <v>0.3814759400497148</v>
      </c>
      <c r="BV13" s="303"/>
    </row>
    <row r="14" spans="1:74" ht="24.75" customHeight="1" x14ac:dyDescent="0.25">
      <c r="A14" s="58">
        <v>1</v>
      </c>
      <c r="B14" s="59" t="s">
        <v>699</v>
      </c>
      <c r="C14" s="119">
        <f>D14+E14</f>
        <v>18007</v>
      </c>
      <c r="D14" s="120">
        <f>G14+N14+U14</f>
        <v>6394</v>
      </c>
      <c r="E14" s="120">
        <f>J14+Q14+X14</f>
        <v>11613</v>
      </c>
      <c r="F14" s="120">
        <f>G14+J14</f>
        <v>640</v>
      </c>
      <c r="G14" s="120">
        <f>H14+I14</f>
        <v>0</v>
      </c>
      <c r="H14" s="120"/>
      <c r="I14" s="120"/>
      <c r="J14" s="120">
        <f>K14+L14</f>
        <v>640</v>
      </c>
      <c r="K14" s="120">
        <v>640</v>
      </c>
      <c r="L14" s="120"/>
      <c r="M14" s="120">
        <f t="shared" ref="M14:M41" si="6">N14+Q14</f>
        <v>134</v>
      </c>
      <c r="N14" s="120">
        <f t="shared" ref="N14:N41" si="7">O14+P14</f>
        <v>0</v>
      </c>
      <c r="O14" s="120">
        <v>0</v>
      </c>
      <c r="P14" s="120"/>
      <c r="Q14" s="120">
        <f t="shared" ref="Q14:Q41" si="8">R14+S14</f>
        <v>134</v>
      </c>
      <c r="R14" s="120">
        <v>134</v>
      </c>
      <c r="S14" s="120"/>
      <c r="T14" s="120">
        <f t="shared" ref="T14:T40" si="9">U14+X14</f>
        <v>17233</v>
      </c>
      <c r="U14" s="120">
        <f t="shared" ref="U14:U40" si="10">V14+W14</f>
        <v>6394</v>
      </c>
      <c r="V14" s="120">
        <v>6394</v>
      </c>
      <c r="W14" s="120"/>
      <c r="X14" s="120">
        <f t="shared" ref="X14:X40" si="11">Y14+Z14</f>
        <v>10839</v>
      </c>
      <c r="Y14" s="120">
        <v>10839</v>
      </c>
      <c r="Z14" s="120"/>
      <c r="AA14" s="119">
        <f>AB14+AC14</f>
        <v>5187.6132289999996</v>
      </c>
      <c r="AB14" s="120">
        <f>AE14+AL14+AS14</f>
        <v>0</v>
      </c>
      <c r="AC14" s="120">
        <f>AH14+AO14+AV14</f>
        <v>5187.6132289999996</v>
      </c>
      <c r="AD14" s="120">
        <f>AE14+AH14</f>
        <v>216.132488</v>
      </c>
      <c r="AE14" s="120">
        <f>AF14+AG14</f>
        <v>0</v>
      </c>
      <c r="AF14" s="120"/>
      <c r="AG14" s="120"/>
      <c r="AH14" s="120">
        <f>AI14+AJ14</f>
        <v>216.132488</v>
      </c>
      <c r="AI14" s="120">
        <v>216.132488</v>
      </c>
      <c r="AJ14" s="120"/>
      <c r="AK14" s="120">
        <f t="shared" ref="AK14:AK41" si="12">AL14+AO14</f>
        <v>0</v>
      </c>
      <c r="AL14" s="120">
        <f t="shared" ref="AL14:AL41" si="13">AM14+AN14</f>
        <v>0</v>
      </c>
      <c r="AM14" s="120"/>
      <c r="AN14" s="120"/>
      <c r="AO14" s="120">
        <f t="shared" ref="AO14:AO41" si="14">AP14+AQ14</f>
        <v>0</v>
      </c>
      <c r="AP14" s="120"/>
      <c r="AQ14" s="120"/>
      <c r="AR14" s="120">
        <f t="shared" ref="AR14:AR40" si="15">AS14+AV14</f>
        <v>4971.4807409999994</v>
      </c>
      <c r="AS14" s="120">
        <f t="shared" ref="AS14:AS40" si="16">AT14+AU14</f>
        <v>0</v>
      </c>
      <c r="AT14" s="120"/>
      <c r="AU14" s="120"/>
      <c r="AV14" s="120">
        <f t="shared" ref="AV14:AV40" si="17">AW14+AX14</f>
        <v>4971.4807409999994</v>
      </c>
      <c r="AW14" s="120">
        <v>4971.4807409999994</v>
      </c>
      <c r="AX14" s="120"/>
      <c r="AY14" s="304">
        <f t="shared" ref="AY14:AZ39" si="18">AA14/C14</f>
        <v>0.28808870044982504</v>
      </c>
      <c r="AZ14" s="304">
        <f>AB14/D14</f>
        <v>0</v>
      </c>
      <c r="BA14" s="304">
        <f t="shared" si="3"/>
        <v>0.44670741660208385</v>
      </c>
      <c r="BB14" s="304">
        <f t="shared" si="3"/>
        <v>0.33770701250000001</v>
      </c>
      <c r="BC14" s="304"/>
      <c r="BD14" s="304"/>
      <c r="BE14" s="304"/>
      <c r="BF14" s="304">
        <f t="shared" si="3"/>
        <v>0.33770701250000001</v>
      </c>
      <c r="BG14" s="304">
        <f t="shared" si="3"/>
        <v>0.33770701250000001</v>
      </c>
      <c r="BH14" s="304"/>
      <c r="BI14" s="304">
        <f t="shared" si="3"/>
        <v>0</v>
      </c>
      <c r="BJ14" s="304"/>
      <c r="BK14" s="304"/>
      <c r="BL14" s="304"/>
      <c r="BM14" s="304">
        <f t="shared" si="3"/>
        <v>0</v>
      </c>
      <c r="BN14" s="304">
        <f t="shared" si="3"/>
        <v>0</v>
      </c>
      <c r="BO14" s="304"/>
      <c r="BP14" s="304">
        <f t="shared" si="4"/>
        <v>0.28848608721638713</v>
      </c>
      <c r="BQ14" s="304">
        <f t="shared" si="4"/>
        <v>0</v>
      </c>
      <c r="BR14" s="304">
        <f t="shared" si="4"/>
        <v>0</v>
      </c>
      <c r="BS14" s="304"/>
      <c r="BT14" s="304">
        <f t="shared" si="4"/>
        <v>0.45866599695543864</v>
      </c>
      <c r="BU14" s="304">
        <f t="shared" si="4"/>
        <v>0.45866599695543864</v>
      </c>
      <c r="BV14" s="304"/>
    </row>
    <row r="15" spans="1:74" ht="25.5" x14ac:dyDescent="0.25">
      <c r="A15" s="58">
        <v>2</v>
      </c>
      <c r="B15" s="59" t="s">
        <v>700</v>
      </c>
      <c r="C15" s="119">
        <f t="shared" ref="C15:C52" si="19">D15+E15</f>
        <v>3198</v>
      </c>
      <c r="D15" s="120">
        <f t="shared" ref="D15:D41" si="20">G15+N15+U15</f>
        <v>934</v>
      </c>
      <c r="E15" s="120">
        <f t="shared" ref="E15:E41" si="21">J15+Q15+X15</f>
        <v>2264</v>
      </c>
      <c r="F15" s="120">
        <f t="shared" ref="F15:F41" si="22">G15+J15</f>
        <v>0</v>
      </c>
      <c r="G15" s="120">
        <f t="shared" ref="G15:G40" si="23">H15+I15</f>
        <v>0</v>
      </c>
      <c r="H15" s="120"/>
      <c r="I15" s="120"/>
      <c r="J15" s="120">
        <f t="shared" ref="J15:J41" si="24">K15+L15</f>
        <v>0</v>
      </c>
      <c r="K15" s="120"/>
      <c r="L15" s="120"/>
      <c r="M15" s="120">
        <f t="shared" si="6"/>
        <v>2777</v>
      </c>
      <c r="N15" s="120">
        <f t="shared" si="7"/>
        <v>934</v>
      </c>
      <c r="O15" s="120">
        <v>934</v>
      </c>
      <c r="P15" s="120"/>
      <c r="Q15" s="120">
        <f t="shared" si="8"/>
        <v>1843</v>
      </c>
      <c r="R15" s="120">
        <v>1843</v>
      </c>
      <c r="S15" s="120"/>
      <c r="T15" s="120">
        <f t="shared" si="9"/>
        <v>421</v>
      </c>
      <c r="U15" s="120">
        <f t="shared" si="10"/>
        <v>0</v>
      </c>
      <c r="V15" s="120">
        <v>0</v>
      </c>
      <c r="W15" s="120"/>
      <c r="X15" s="120">
        <f t="shared" si="11"/>
        <v>421</v>
      </c>
      <c r="Y15" s="120">
        <v>421</v>
      </c>
      <c r="Z15" s="120"/>
      <c r="AA15" s="119">
        <f t="shared" ref="AA15:AA41" si="25">AB15+AC15</f>
        <v>734.91039599999999</v>
      </c>
      <c r="AB15" s="120">
        <f t="shared" ref="AB15:AB41" si="26">AE15+AL15+AS15</f>
        <v>0</v>
      </c>
      <c r="AC15" s="120">
        <f t="shared" ref="AC15:AC41" si="27">AH15+AO15+AV15</f>
        <v>734.91039599999999</v>
      </c>
      <c r="AD15" s="120">
        <f t="shared" ref="AD15:AD40" si="28">AE15+AH15</f>
        <v>0</v>
      </c>
      <c r="AE15" s="120">
        <f t="shared" ref="AE15:AE40" si="29">AF15+AG15</f>
        <v>0</v>
      </c>
      <c r="AF15" s="120"/>
      <c r="AG15" s="120"/>
      <c r="AH15" s="120">
        <f t="shared" ref="AH15:AH40" si="30">AI15+AJ15</f>
        <v>0</v>
      </c>
      <c r="AI15" s="120"/>
      <c r="AJ15" s="120"/>
      <c r="AK15" s="120">
        <f t="shared" si="12"/>
        <v>594.07121400000005</v>
      </c>
      <c r="AL15" s="120">
        <f t="shared" si="13"/>
        <v>0</v>
      </c>
      <c r="AM15" s="120"/>
      <c r="AN15" s="120"/>
      <c r="AO15" s="120">
        <f t="shared" si="14"/>
        <v>594.07121400000005</v>
      </c>
      <c r="AP15" s="120">
        <v>594.07121400000005</v>
      </c>
      <c r="AQ15" s="120"/>
      <c r="AR15" s="120">
        <f t="shared" si="15"/>
        <v>140.83918199999999</v>
      </c>
      <c r="AS15" s="120">
        <f t="shared" si="16"/>
        <v>0</v>
      </c>
      <c r="AT15" s="120"/>
      <c r="AU15" s="120"/>
      <c r="AV15" s="120">
        <f t="shared" si="17"/>
        <v>140.83918199999999</v>
      </c>
      <c r="AW15" s="120">
        <v>140.83918199999999</v>
      </c>
      <c r="AX15" s="120"/>
      <c r="AY15" s="304">
        <f t="shared" si="18"/>
        <v>0.22980312570356473</v>
      </c>
      <c r="AZ15" s="304">
        <f>AB15/D15</f>
        <v>0</v>
      </c>
      <c r="BA15" s="304">
        <f t="shared" si="3"/>
        <v>0.32460706537102474</v>
      </c>
      <c r="BB15" s="304"/>
      <c r="BC15" s="304"/>
      <c r="BD15" s="304"/>
      <c r="BE15" s="304"/>
      <c r="BF15" s="304"/>
      <c r="BG15" s="304"/>
      <c r="BH15" s="304"/>
      <c r="BI15" s="304">
        <f t="shared" si="3"/>
        <v>0.21392553619013327</v>
      </c>
      <c r="BJ15" s="304">
        <f t="shared" si="3"/>
        <v>0</v>
      </c>
      <c r="BK15" s="304">
        <f t="shared" si="3"/>
        <v>0</v>
      </c>
      <c r="BL15" s="304"/>
      <c r="BM15" s="304">
        <f t="shared" si="3"/>
        <v>0.32233923711340207</v>
      </c>
      <c r="BN15" s="304">
        <f t="shared" si="3"/>
        <v>0.32233923711340207</v>
      </c>
      <c r="BO15" s="304"/>
      <c r="BP15" s="304">
        <f t="shared" si="4"/>
        <v>0.33453487410926364</v>
      </c>
      <c r="BQ15" s="304"/>
      <c r="BR15" s="304"/>
      <c r="BS15" s="304"/>
      <c r="BT15" s="304">
        <f t="shared" si="4"/>
        <v>0.33453487410926364</v>
      </c>
      <c r="BU15" s="304">
        <f t="shared" si="4"/>
        <v>0.33453487410926364</v>
      </c>
      <c r="BV15" s="304"/>
    </row>
    <row r="16" spans="1:74" x14ac:dyDescent="0.25">
      <c r="A16" s="58">
        <v>3</v>
      </c>
      <c r="B16" s="59" t="s">
        <v>131</v>
      </c>
      <c r="C16" s="119">
        <f t="shared" si="19"/>
        <v>8100</v>
      </c>
      <c r="D16" s="120">
        <f t="shared" si="20"/>
        <v>1785</v>
      </c>
      <c r="E16" s="120">
        <f t="shared" si="21"/>
        <v>6315</v>
      </c>
      <c r="F16" s="120">
        <f t="shared" si="22"/>
        <v>0</v>
      </c>
      <c r="G16" s="120">
        <f t="shared" si="23"/>
        <v>0</v>
      </c>
      <c r="H16" s="120"/>
      <c r="I16" s="120"/>
      <c r="J16" s="120">
        <f t="shared" si="24"/>
        <v>0</v>
      </c>
      <c r="K16" s="120"/>
      <c r="L16" s="120"/>
      <c r="M16" s="120">
        <f t="shared" si="6"/>
        <v>0</v>
      </c>
      <c r="N16" s="120">
        <f t="shared" si="7"/>
        <v>0</v>
      </c>
      <c r="O16" s="120">
        <v>0</v>
      </c>
      <c r="P16" s="120"/>
      <c r="Q16" s="120">
        <f t="shared" si="8"/>
        <v>0</v>
      </c>
      <c r="R16" s="120">
        <v>0</v>
      </c>
      <c r="S16" s="120"/>
      <c r="T16" s="120">
        <f t="shared" si="9"/>
        <v>8100</v>
      </c>
      <c r="U16" s="120">
        <f t="shared" si="10"/>
        <v>1785</v>
      </c>
      <c r="V16" s="120">
        <v>1785</v>
      </c>
      <c r="W16" s="120"/>
      <c r="X16" s="120">
        <f t="shared" si="11"/>
        <v>6315</v>
      </c>
      <c r="Y16" s="120">
        <v>6315</v>
      </c>
      <c r="Z16" s="120"/>
      <c r="AA16" s="119">
        <f t="shared" si="25"/>
        <v>3791.8084499999995</v>
      </c>
      <c r="AB16" s="120">
        <f t="shared" si="26"/>
        <v>0</v>
      </c>
      <c r="AC16" s="120">
        <f t="shared" si="27"/>
        <v>3791.8084499999995</v>
      </c>
      <c r="AD16" s="120">
        <f t="shared" si="28"/>
        <v>0</v>
      </c>
      <c r="AE16" s="120">
        <f t="shared" si="29"/>
        <v>0</v>
      </c>
      <c r="AF16" s="120"/>
      <c r="AG16" s="120"/>
      <c r="AH16" s="120">
        <f t="shared" si="30"/>
        <v>0</v>
      </c>
      <c r="AI16" s="120"/>
      <c r="AJ16" s="120"/>
      <c r="AK16" s="120">
        <f t="shared" si="12"/>
        <v>0</v>
      </c>
      <c r="AL16" s="120">
        <f t="shared" si="13"/>
        <v>0</v>
      </c>
      <c r="AM16" s="120"/>
      <c r="AN16" s="120"/>
      <c r="AO16" s="120">
        <f t="shared" si="14"/>
        <v>0</v>
      </c>
      <c r="AP16" s="120"/>
      <c r="AQ16" s="120"/>
      <c r="AR16" s="120">
        <f t="shared" si="15"/>
        <v>3791.8084499999995</v>
      </c>
      <c r="AS16" s="120">
        <f t="shared" si="16"/>
        <v>0</v>
      </c>
      <c r="AT16" s="120"/>
      <c r="AU16" s="120"/>
      <c r="AV16" s="120">
        <f t="shared" si="17"/>
        <v>3791.8084499999995</v>
      </c>
      <c r="AW16" s="120">
        <v>3791.8084499999995</v>
      </c>
      <c r="AX16" s="120"/>
      <c r="AY16" s="304">
        <f t="shared" si="18"/>
        <v>0.46812449999999994</v>
      </c>
      <c r="AZ16" s="304">
        <f>AB16/D16</f>
        <v>0</v>
      </c>
      <c r="BA16" s="304">
        <f t="shared" si="3"/>
        <v>0.60044472684085504</v>
      </c>
      <c r="BB16" s="304"/>
      <c r="BC16" s="304"/>
      <c r="BD16" s="304"/>
      <c r="BE16" s="304"/>
      <c r="BF16" s="304"/>
      <c r="BG16" s="304"/>
      <c r="BH16" s="304"/>
      <c r="BI16" s="304"/>
      <c r="BJ16" s="304"/>
      <c r="BK16" s="304"/>
      <c r="BL16" s="304"/>
      <c r="BM16" s="304"/>
      <c r="BN16" s="304"/>
      <c r="BO16" s="304"/>
      <c r="BP16" s="304">
        <f t="shared" si="4"/>
        <v>0.46812449999999994</v>
      </c>
      <c r="BQ16" s="304">
        <f t="shared" si="4"/>
        <v>0</v>
      </c>
      <c r="BR16" s="304">
        <f t="shared" si="4"/>
        <v>0</v>
      </c>
      <c r="BS16" s="304"/>
      <c r="BT16" s="304">
        <f t="shared" si="4"/>
        <v>0.60044472684085504</v>
      </c>
      <c r="BU16" s="304">
        <f t="shared" si="4"/>
        <v>0.60044472684085504</v>
      </c>
      <c r="BV16" s="304"/>
    </row>
    <row r="17" spans="1:74" x14ac:dyDescent="0.25">
      <c r="A17" s="58">
        <v>4</v>
      </c>
      <c r="B17" s="59" t="s">
        <v>701</v>
      </c>
      <c r="C17" s="119">
        <f t="shared" si="19"/>
        <v>147</v>
      </c>
      <c r="D17" s="120">
        <f t="shared" si="20"/>
        <v>0</v>
      </c>
      <c r="E17" s="120">
        <f t="shared" si="21"/>
        <v>147</v>
      </c>
      <c r="F17" s="120">
        <f t="shared" si="22"/>
        <v>0</v>
      </c>
      <c r="G17" s="120">
        <f t="shared" si="23"/>
        <v>0</v>
      </c>
      <c r="H17" s="120"/>
      <c r="I17" s="120"/>
      <c r="J17" s="120">
        <f t="shared" si="24"/>
        <v>0</v>
      </c>
      <c r="K17" s="120"/>
      <c r="L17" s="120"/>
      <c r="M17" s="120">
        <f t="shared" si="6"/>
        <v>0</v>
      </c>
      <c r="N17" s="120">
        <f t="shared" si="7"/>
        <v>0</v>
      </c>
      <c r="O17" s="120">
        <v>0</v>
      </c>
      <c r="P17" s="120"/>
      <c r="Q17" s="120">
        <f t="shared" si="8"/>
        <v>0</v>
      </c>
      <c r="R17" s="120">
        <v>0</v>
      </c>
      <c r="S17" s="120"/>
      <c r="T17" s="120">
        <f t="shared" si="9"/>
        <v>147</v>
      </c>
      <c r="U17" s="120">
        <f t="shared" si="10"/>
        <v>0</v>
      </c>
      <c r="V17" s="120">
        <v>0</v>
      </c>
      <c r="W17" s="120"/>
      <c r="X17" s="120">
        <f t="shared" si="11"/>
        <v>147</v>
      </c>
      <c r="Y17" s="120">
        <v>147</v>
      </c>
      <c r="Z17" s="120"/>
      <c r="AA17" s="119">
        <f t="shared" si="25"/>
        <v>143.80000000000001</v>
      </c>
      <c r="AB17" s="120">
        <f t="shared" si="26"/>
        <v>0</v>
      </c>
      <c r="AC17" s="120">
        <f t="shared" si="27"/>
        <v>143.80000000000001</v>
      </c>
      <c r="AD17" s="120">
        <f t="shared" si="28"/>
        <v>0</v>
      </c>
      <c r="AE17" s="120">
        <f t="shared" si="29"/>
        <v>0</v>
      </c>
      <c r="AF17" s="120"/>
      <c r="AG17" s="120"/>
      <c r="AH17" s="120">
        <f t="shared" si="30"/>
        <v>0</v>
      </c>
      <c r="AI17" s="120"/>
      <c r="AJ17" s="120"/>
      <c r="AK17" s="120">
        <f t="shared" si="12"/>
        <v>0</v>
      </c>
      <c r="AL17" s="120">
        <f t="shared" si="13"/>
        <v>0</v>
      </c>
      <c r="AM17" s="120"/>
      <c r="AN17" s="120"/>
      <c r="AO17" s="120">
        <f t="shared" si="14"/>
        <v>0</v>
      </c>
      <c r="AP17" s="120"/>
      <c r="AQ17" s="120"/>
      <c r="AR17" s="120">
        <f t="shared" si="15"/>
        <v>143.80000000000001</v>
      </c>
      <c r="AS17" s="120">
        <f t="shared" si="16"/>
        <v>0</v>
      </c>
      <c r="AT17" s="120"/>
      <c r="AU17" s="120"/>
      <c r="AV17" s="120">
        <f t="shared" si="17"/>
        <v>143.80000000000001</v>
      </c>
      <c r="AW17" s="120">
        <v>143.80000000000001</v>
      </c>
      <c r="AX17" s="120"/>
      <c r="AY17" s="304">
        <f t="shared" si="18"/>
        <v>0.97823129251700691</v>
      </c>
      <c r="AZ17" s="304"/>
      <c r="BA17" s="304">
        <f t="shared" si="3"/>
        <v>0.97823129251700691</v>
      </c>
      <c r="BB17" s="304"/>
      <c r="BC17" s="304"/>
      <c r="BD17" s="304"/>
      <c r="BE17" s="304"/>
      <c r="BF17" s="304"/>
      <c r="BG17" s="304"/>
      <c r="BH17" s="304"/>
      <c r="BI17" s="304"/>
      <c r="BJ17" s="304"/>
      <c r="BK17" s="304"/>
      <c r="BL17" s="304"/>
      <c r="BM17" s="304"/>
      <c r="BN17" s="304"/>
      <c r="BO17" s="304"/>
      <c r="BP17" s="304">
        <f t="shared" si="4"/>
        <v>0.97823129251700691</v>
      </c>
      <c r="BQ17" s="304"/>
      <c r="BR17" s="304"/>
      <c r="BS17" s="304"/>
      <c r="BT17" s="304">
        <f t="shared" si="4"/>
        <v>0.97823129251700691</v>
      </c>
      <c r="BU17" s="304">
        <f t="shared" si="4"/>
        <v>0.97823129251700691</v>
      </c>
      <c r="BV17" s="304"/>
    </row>
    <row r="18" spans="1:74" x14ac:dyDescent="0.25">
      <c r="A18" s="58">
        <v>5</v>
      </c>
      <c r="B18" s="59" t="s">
        <v>702</v>
      </c>
      <c r="C18" s="119">
        <f t="shared" si="19"/>
        <v>34830</v>
      </c>
      <c r="D18" s="120">
        <f t="shared" si="20"/>
        <v>20464</v>
      </c>
      <c r="E18" s="120">
        <f t="shared" si="21"/>
        <v>14366</v>
      </c>
      <c r="F18" s="120">
        <f t="shared" si="22"/>
        <v>0</v>
      </c>
      <c r="G18" s="120">
        <f t="shared" si="23"/>
        <v>0</v>
      </c>
      <c r="H18" s="120"/>
      <c r="I18" s="120"/>
      <c r="J18" s="120">
        <f t="shared" si="24"/>
        <v>0</v>
      </c>
      <c r="K18" s="120"/>
      <c r="L18" s="120"/>
      <c r="M18" s="120">
        <f t="shared" si="6"/>
        <v>0</v>
      </c>
      <c r="N18" s="120">
        <f t="shared" si="7"/>
        <v>0</v>
      </c>
      <c r="O18" s="120">
        <v>0</v>
      </c>
      <c r="P18" s="120"/>
      <c r="Q18" s="120">
        <f t="shared" si="8"/>
        <v>0</v>
      </c>
      <c r="R18" s="120">
        <v>0</v>
      </c>
      <c r="S18" s="120"/>
      <c r="T18" s="120">
        <f t="shared" si="9"/>
        <v>34830</v>
      </c>
      <c r="U18" s="120">
        <f t="shared" si="10"/>
        <v>20464</v>
      </c>
      <c r="V18" s="120">
        <v>20464</v>
      </c>
      <c r="W18" s="120"/>
      <c r="X18" s="120">
        <f t="shared" si="11"/>
        <v>14366</v>
      </c>
      <c r="Y18" s="120">
        <v>14366</v>
      </c>
      <c r="Z18" s="120"/>
      <c r="AA18" s="119">
        <f t="shared" si="25"/>
        <v>50.5</v>
      </c>
      <c r="AB18" s="120">
        <f t="shared" si="26"/>
        <v>0</v>
      </c>
      <c r="AC18" s="120">
        <f t="shared" si="27"/>
        <v>50.5</v>
      </c>
      <c r="AD18" s="120">
        <f t="shared" si="28"/>
        <v>0</v>
      </c>
      <c r="AE18" s="120">
        <f t="shared" si="29"/>
        <v>0</v>
      </c>
      <c r="AF18" s="120"/>
      <c r="AG18" s="120"/>
      <c r="AH18" s="120">
        <f t="shared" si="30"/>
        <v>0</v>
      </c>
      <c r="AI18" s="120"/>
      <c r="AJ18" s="120"/>
      <c r="AK18" s="120">
        <f t="shared" si="12"/>
        <v>0</v>
      </c>
      <c r="AL18" s="120">
        <f t="shared" si="13"/>
        <v>0</v>
      </c>
      <c r="AM18" s="120"/>
      <c r="AN18" s="120"/>
      <c r="AO18" s="120">
        <f t="shared" si="14"/>
        <v>0</v>
      </c>
      <c r="AP18" s="120"/>
      <c r="AQ18" s="120"/>
      <c r="AR18" s="120">
        <f t="shared" si="15"/>
        <v>50.5</v>
      </c>
      <c r="AS18" s="120">
        <f t="shared" si="16"/>
        <v>0</v>
      </c>
      <c r="AT18" s="120"/>
      <c r="AU18" s="120"/>
      <c r="AV18" s="120">
        <f t="shared" si="17"/>
        <v>50.5</v>
      </c>
      <c r="AW18" s="120">
        <v>50.5</v>
      </c>
      <c r="AX18" s="120"/>
      <c r="AY18" s="304">
        <f t="shared" si="18"/>
        <v>1.4498995119150157E-3</v>
      </c>
      <c r="AZ18" s="304">
        <f t="shared" si="18"/>
        <v>0</v>
      </c>
      <c r="BA18" s="304">
        <f t="shared" si="3"/>
        <v>3.5152443268829181E-3</v>
      </c>
      <c r="BB18" s="304"/>
      <c r="BC18" s="304"/>
      <c r="BD18" s="304"/>
      <c r="BE18" s="304"/>
      <c r="BF18" s="304"/>
      <c r="BG18" s="304"/>
      <c r="BH18" s="304"/>
      <c r="BI18" s="304"/>
      <c r="BJ18" s="304"/>
      <c r="BK18" s="304"/>
      <c r="BL18" s="304"/>
      <c r="BM18" s="304"/>
      <c r="BN18" s="304"/>
      <c r="BO18" s="304"/>
      <c r="BP18" s="304">
        <f t="shared" si="4"/>
        <v>1.4498995119150157E-3</v>
      </c>
      <c r="BQ18" s="304">
        <f t="shared" si="4"/>
        <v>0</v>
      </c>
      <c r="BR18" s="304">
        <f t="shared" si="4"/>
        <v>0</v>
      </c>
      <c r="BS18" s="304"/>
      <c r="BT18" s="304">
        <f t="shared" si="4"/>
        <v>3.5152443268829181E-3</v>
      </c>
      <c r="BU18" s="304">
        <f t="shared" si="4"/>
        <v>3.5152443268829181E-3</v>
      </c>
      <c r="BV18" s="304"/>
    </row>
    <row r="19" spans="1:74" x14ac:dyDescent="0.25">
      <c r="A19" s="58">
        <v>6</v>
      </c>
      <c r="B19" s="59" t="s">
        <v>289</v>
      </c>
      <c r="C19" s="119">
        <f t="shared" si="19"/>
        <v>581</v>
      </c>
      <c r="D19" s="120">
        <f t="shared" si="20"/>
        <v>0</v>
      </c>
      <c r="E19" s="120">
        <f t="shared" si="21"/>
        <v>581</v>
      </c>
      <c r="F19" s="120">
        <f t="shared" si="22"/>
        <v>0</v>
      </c>
      <c r="G19" s="120">
        <f t="shared" si="23"/>
        <v>0</v>
      </c>
      <c r="H19" s="120"/>
      <c r="I19" s="120"/>
      <c r="J19" s="120">
        <f t="shared" si="24"/>
        <v>0</v>
      </c>
      <c r="K19" s="120"/>
      <c r="L19" s="120"/>
      <c r="M19" s="120">
        <f t="shared" si="6"/>
        <v>0</v>
      </c>
      <c r="N19" s="120">
        <f t="shared" si="7"/>
        <v>0</v>
      </c>
      <c r="O19" s="120">
        <v>0</v>
      </c>
      <c r="P19" s="120"/>
      <c r="Q19" s="120">
        <f t="shared" si="8"/>
        <v>0</v>
      </c>
      <c r="R19" s="120">
        <v>0</v>
      </c>
      <c r="S19" s="120"/>
      <c r="T19" s="120">
        <f t="shared" si="9"/>
        <v>581</v>
      </c>
      <c r="U19" s="120">
        <f t="shared" si="10"/>
        <v>0</v>
      </c>
      <c r="V19" s="120">
        <v>0</v>
      </c>
      <c r="W19" s="120"/>
      <c r="X19" s="120">
        <f t="shared" si="11"/>
        <v>581</v>
      </c>
      <c r="Y19" s="120">
        <v>581</v>
      </c>
      <c r="Z19" s="120"/>
      <c r="AA19" s="119">
        <f t="shared" si="25"/>
        <v>387.096</v>
      </c>
      <c r="AB19" s="120">
        <f t="shared" si="26"/>
        <v>0</v>
      </c>
      <c r="AC19" s="120">
        <f t="shared" si="27"/>
        <v>387.096</v>
      </c>
      <c r="AD19" s="120">
        <f t="shared" si="28"/>
        <v>0</v>
      </c>
      <c r="AE19" s="120">
        <f t="shared" si="29"/>
        <v>0</v>
      </c>
      <c r="AF19" s="120"/>
      <c r="AG19" s="120"/>
      <c r="AH19" s="120">
        <f t="shared" si="30"/>
        <v>0</v>
      </c>
      <c r="AI19" s="120"/>
      <c r="AJ19" s="120"/>
      <c r="AK19" s="120">
        <f t="shared" si="12"/>
        <v>0</v>
      </c>
      <c r="AL19" s="120">
        <f t="shared" si="13"/>
        <v>0</v>
      </c>
      <c r="AM19" s="120"/>
      <c r="AN19" s="120"/>
      <c r="AO19" s="120">
        <f t="shared" si="14"/>
        <v>0</v>
      </c>
      <c r="AP19" s="120"/>
      <c r="AQ19" s="120"/>
      <c r="AR19" s="120">
        <f t="shared" si="15"/>
        <v>387.096</v>
      </c>
      <c r="AS19" s="120">
        <f t="shared" si="16"/>
        <v>0</v>
      </c>
      <c r="AT19" s="120"/>
      <c r="AU19" s="120"/>
      <c r="AV19" s="120">
        <f t="shared" si="17"/>
        <v>387.096</v>
      </c>
      <c r="AW19" s="120">
        <v>387.096</v>
      </c>
      <c r="AX19" s="120"/>
      <c r="AY19" s="304">
        <f t="shared" si="18"/>
        <v>0.66625817555938038</v>
      </c>
      <c r="AZ19" s="304"/>
      <c r="BA19" s="304">
        <f t="shared" si="3"/>
        <v>0.66625817555938038</v>
      </c>
      <c r="BB19" s="304"/>
      <c r="BC19" s="304"/>
      <c r="BD19" s="304"/>
      <c r="BE19" s="304"/>
      <c r="BF19" s="304"/>
      <c r="BG19" s="304"/>
      <c r="BH19" s="304"/>
      <c r="BI19" s="304"/>
      <c r="BJ19" s="304"/>
      <c r="BK19" s="304"/>
      <c r="BL19" s="304"/>
      <c r="BM19" s="304"/>
      <c r="BN19" s="304"/>
      <c r="BO19" s="304"/>
      <c r="BP19" s="304">
        <f t="shared" si="4"/>
        <v>0.66625817555938038</v>
      </c>
      <c r="BQ19" s="304"/>
      <c r="BR19" s="304"/>
      <c r="BS19" s="304"/>
      <c r="BT19" s="304">
        <f t="shared" si="4"/>
        <v>0.66625817555938038</v>
      </c>
      <c r="BU19" s="304">
        <f t="shared" si="4"/>
        <v>0.66625817555938038</v>
      </c>
      <c r="BV19" s="304"/>
    </row>
    <row r="20" spans="1:74" ht="25.5" x14ac:dyDescent="0.25">
      <c r="A20" s="58">
        <v>7</v>
      </c>
      <c r="B20" s="59" t="s">
        <v>703</v>
      </c>
      <c r="C20" s="119">
        <f t="shared" si="19"/>
        <v>24696</v>
      </c>
      <c r="D20" s="120">
        <f t="shared" si="20"/>
        <v>21483</v>
      </c>
      <c r="E20" s="120">
        <f t="shared" si="21"/>
        <v>3213</v>
      </c>
      <c r="F20" s="120">
        <f t="shared" si="22"/>
        <v>0</v>
      </c>
      <c r="G20" s="120">
        <f t="shared" si="23"/>
        <v>0</v>
      </c>
      <c r="H20" s="120"/>
      <c r="I20" s="120"/>
      <c r="J20" s="120">
        <f t="shared" si="24"/>
        <v>0</v>
      </c>
      <c r="K20" s="120"/>
      <c r="L20" s="120"/>
      <c r="M20" s="120">
        <f t="shared" si="6"/>
        <v>24696</v>
      </c>
      <c r="N20" s="120">
        <f t="shared" si="7"/>
        <v>21483</v>
      </c>
      <c r="O20" s="120">
        <v>21483</v>
      </c>
      <c r="P20" s="120"/>
      <c r="Q20" s="120">
        <f t="shared" si="8"/>
        <v>3213</v>
      </c>
      <c r="R20" s="120">
        <v>3213</v>
      </c>
      <c r="S20" s="120"/>
      <c r="T20" s="120">
        <f t="shared" si="9"/>
        <v>0</v>
      </c>
      <c r="U20" s="120">
        <f t="shared" si="10"/>
        <v>0</v>
      </c>
      <c r="V20" s="120">
        <v>0</v>
      </c>
      <c r="W20" s="120"/>
      <c r="X20" s="120">
        <f t="shared" si="11"/>
        <v>0</v>
      </c>
      <c r="Y20" s="120">
        <v>0</v>
      </c>
      <c r="Z20" s="120"/>
      <c r="AA20" s="119">
        <f t="shared" si="25"/>
        <v>5972.5118729999995</v>
      </c>
      <c r="AB20" s="120">
        <f t="shared" si="26"/>
        <v>3254.3563709999999</v>
      </c>
      <c r="AC20" s="120">
        <f t="shared" si="27"/>
        <v>2718.1555020000001</v>
      </c>
      <c r="AD20" s="120">
        <f t="shared" si="28"/>
        <v>0</v>
      </c>
      <c r="AE20" s="120">
        <f t="shared" si="29"/>
        <v>0</v>
      </c>
      <c r="AF20" s="120"/>
      <c r="AG20" s="120"/>
      <c r="AH20" s="120">
        <f t="shared" si="30"/>
        <v>0</v>
      </c>
      <c r="AI20" s="120"/>
      <c r="AJ20" s="120"/>
      <c r="AK20" s="120">
        <f t="shared" si="12"/>
        <v>5972.5118729999995</v>
      </c>
      <c r="AL20" s="120">
        <f t="shared" si="13"/>
        <v>3254.3563709999999</v>
      </c>
      <c r="AM20" s="120">
        <v>3254.3563709999999</v>
      </c>
      <c r="AN20" s="120"/>
      <c r="AO20" s="120">
        <f t="shared" si="14"/>
        <v>2718.1555020000001</v>
      </c>
      <c r="AP20" s="120">
        <v>2718.1555020000001</v>
      </c>
      <c r="AQ20" s="120"/>
      <c r="AR20" s="120">
        <f t="shared" si="15"/>
        <v>0</v>
      </c>
      <c r="AS20" s="120">
        <f t="shared" si="16"/>
        <v>0</v>
      </c>
      <c r="AT20" s="120"/>
      <c r="AU20" s="120"/>
      <c r="AV20" s="120">
        <f t="shared" si="17"/>
        <v>0</v>
      </c>
      <c r="AW20" s="120"/>
      <c r="AX20" s="120"/>
      <c r="AY20" s="304">
        <f t="shared" si="18"/>
        <v>0.24184126469873662</v>
      </c>
      <c r="AZ20" s="304">
        <f t="shared" si="18"/>
        <v>0.15148519159335289</v>
      </c>
      <c r="BA20" s="304">
        <f t="shared" si="3"/>
        <v>0.84598677310924375</v>
      </c>
      <c r="BB20" s="304"/>
      <c r="BC20" s="304"/>
      <c r="BD20" s="304"/>
      <c r="BE20" s="304"/>
      <c r="BF20" s="304"/>
      <c r="BG20" s="304"/>
      <c r="BH20" s="304"/>
      <c r="BI20" s="304">
        <f t="shared" si="3"/>
        <v>0.24184126469873662</v>
      </c>
      <c r="BJ20" s="304">
        <f t="shared" si="3"/>
        <v>0.15148519159335289</v>
      </c>
      <c r="BK20" s="304">
        <f t="shared" si="3"/>
        <v>0.15148519159335289</v>
      </c>
      <c r="BL20" s="304"/>
      <c r="BM20" s="304">
        <f t="shared" si="3"/>
        <v>0.84598677310924375</v>
      </c>
      <c r="BN20" s="304">
        <f t="shared" si="3"/>
        <v>0.84598677310924375</v>
      </c>
      <c r="BO20" s="304"/>
      <c r="BP20" s="304"/>
      <c r="BQ20" s="304"/>
      <c r="BR20" s="304"/>
      <c r="BS20" s="304"/>
      <c r="BT20" s="304"/>
      <c r="BU20" s="304"/>
      <c r="BV20" s="304"/>
    </row>
    <row r="21" spans="1:74" ht="25.5" x14ac:dyDescent="0.25">
      <c r="A21" s="58">
        <v>8</v>
      </c>
      <c r="B21" s="59" t="s">
        <v>704</v>
      </c>
      <c r="C21" s="119">
        <f t="shared" si="19"/>
        <v>6867</v>
      </c>
      <c r="D21" s="120">
        <f t="shared" si="20"/>
        <v>4664</v>
      </c>
      <c r="E21" s="120">
        <f t="shared" si="21"/>
        <v>2203</v>
      </c>
      <c r="F21" s="120">
        <f t="shared" si="22"/>
        <v>500</v>
      </c>
      <c r="G21" s="120">
        <f t="shared" si="23"/>
        <v>0</v>
      </c>
      <c r="H21" s="120"/>
      <c r="I21" s="120"/>
      <c r="J21" s="120">
        <f t="shared" si="24"/>
        <v>500</v>
      </c>
      <c r="K21" s="120">
        <v>500</v>
      </c>
      <c r="L21" s="120"/>
      <c r="M21" s="120">
        <f t="shared" si="6"/>
        <v>0</v>
      </c>
      <c r="N21" s="120">
        <f t="shared" si="7"/>
        <v>0</v>
      </c>
      <c r="O21" s="120">
        <v>0</v>
      </c>
      <c r="P21" s="120"/>
      <c r="Q21" s="120">
        <f t="shared" si="8"/>
        <v>0</v>
      </c>
      <c r="R21" s="120">
        <v>0</v>
      </c>
      <c r="S21" s="120"/>
      <c r="T21" s="120">
        <f t="shared" si="9"/>
        <v>6367</v>
      </c>
      <c r="U21" s="120">
        <f t="shared" si="10"/>
        <v>4664</v>
      </c>
      <c r="V21" s="120">
        <v>4664</v>
      </c>
      <c r="W21" s="120"/>
      <c r="X21" s="120">
        <f t="shared" si="11"/>
        <v>1703</v>
      </c>
      <c r="Y21" s="120">
        <v>1703</v>
      </c>
      <c r="Z21" s="120"/>
      <c r="AA21" s="119">
        <f t="shared" si="25"/>
        <v>1963.5376000000001</v>
      </c>
      <c r="AB21" s="120">
        <f t="shared" si="26"/>
        <v>0</v>
      </c>
      <c r="AC21" s="120">
        <f t="shared" si="27"/>
        <v>1963.5376000000001</v>
      </c>
      <c r="AD21" s="120">
        <f t="shared" si="28"/>
        <v>286.80399999999997</v>
      </c>
      <c r="AE21" s="120">
        <f t="shared" si="29"/>
        <v>0</v>
      </c>
      <c r="AF21" s="120"/>
      <c r="AG21" s="120"/>
      <c r="AH21" s="120">
        <f t="shared" si="30"/>
        <v>286.80399999999997</v>
      </c>
      <c r="AI21" s="120">
        <v>286.80399999999997</v>
      </c>
      <c r="AJ21" s="120"/>
      <c r="AK21" s="120">
        <f t="shared" si="12"/>
        <v>0</v>
      </c>
      <c r="AL21" s="120">
        <f t="shared" si="13"/>
        <v>0</v>
      </c>
      <c r="AM21" s="120"/>
      <c r="AN21" s="120"/>
      <c r="AO21" s="120">
        <f t="shared" si="14"/>
        <v>0</v>
      </c>
      <c r="AP21" s="120"/>
      <c r="AQ21" s="120"/>
      <c r="AR21" s="120">
        <f t="shared" si="15"/>
        <v>1676.7336</v>
      </c>
      <c r="AS21" s="120">
        <f t="shared" si="16"/>
        <v>0</v>
      </c>
      <c r="AT21" s="120"/>
      <c r="AU21" s="120"/>
      <c r="AV21" s="120">
        <f t="shared" si="17"/>
        <v>1676.7336</v>
      </c>
      <c r="AW21" s="120">
        <v>1676.7336</v>
      </c>
      <c r="AX21" s="120"/>
      <c r="AY21" s="304">
        <f t="shared" si="18"/>
        <v>0.28593819717489444</v>
      </c>
      <c r="AZ21" s="304">
        <f t="shared" si="18"/>
        <v>0</v>
      </c>
      <c r="BA21" s="304">
        <f t="shared" si="3"/>
        <v>0.8913016795279165</v>
      </c>
      <c r="BB21" s="304">
        <f t="shared" si="3"/>
        <v>0.5736079999999999</v>
      </c>
      <c r="BC21" s="304"/>
      <c r="BD21" s="304"/>
      <c r="BE21" s="304"/>
      <c r="BF21" s="304">
        <f t="shared" si="3"/>
        <v>0.5736079999999999</v>
      </c>
      <c r="BG21" s="304">
        <f t="shared" si="3"/>
        <v>0.5736079999999999</v>
      </c>
      <c r="BH21" s="304"/>
      <c r="BI21" s="304"/>
      <c r="BJ21" s="304"/>
      <c r="BK21" s="304"/>
      <c r="BL21" s="304"/>
      <c r="BM21" s="304"/>
      <c r="BN21" s="304"/>
      <c r="BO21" s="304"/>
      <c r="BP21" s="304">
        <f t="shared" si="4"/>
        <v>0.26334751060153921</v>
      </c>
      <c r="BQ21" s="304">
        <f t="shared" si="4"/>
        <v>0</v>
      </c>
      <c r="BR21" s="304">
        <f t="shared" si="4"/>
        <v>0</v>
      </c>
      <c r="BS21" s="304"/>
      <c r="BT21" s="304">
        <f t="shared" si="4"/>
        <v>0.98457639459776869</v>
      </c>
      <c r="BU21" s="304">
        <f t="shared" si="4"/>
        <v>0.98457639459776869</v>
      </c>
      <c r="BV21" s="304"/>
    </row>
    <row r="22" spans="1:74" ht="25.5" x14ac:dyDescent="0.25">
      <c r="A22" s="58">
        <v>9</v>
      </c>
      <c r="B22" s="59" t="s">
        <v>157</v>
      </c>
      <c r="C22" s="119">
        <f t="shared" si="19"/>
        <v>1000</v>
      </c>
      <c r="D22" s="120">
        <f t="shared" si="20"/>
        <v>0</v>
      </c>
      <c r="E22" s="120">
        <f t="shared" si="21"/>
        <v>1000</v>
      </c>
      <c r="F22" s="120">
        <f t="shared" si="22"/>
        <v>1000</v>
      </c>
      <c r="G22" s="120">
        <f t="shared" si="23"/>
        <v>0</v>
      </c>
      <c r="H22" s="120"/>
      <c r="I22" s="120"/>
      <c r="J22" s="120">
        <f t="shared" si="24"/>
        <v>1000</v>
      </c>
      <c r="K22" s="120">
        <v>1000</v>
      </c>
      <c r="L22" s="120"/>
      <c r="M22" s="120">
        <f t="shared" si="6"/>
        <v>0</v>
      </c>
      <c r="N22" s="120">
        <f t="shared" si="7"/>
        <v>0</v>
      </c>
      <c r="O22" s="120">
        <v>0</v>
      </c>
      <c r="P22" s="120"/>
      <c r="Q22" s="120">
        <f t="shared" si="8"/>
        <v>0</v>
      </c>
      <c r="R22" s="120">
        <v>0</v>
      </c>
      <c r="S22" s="120"/>
      <c r="T22" s="120">
        <f t="shared" si="9"/>
        <v>0</v>
      </c>
      <c r="U22" s="120">
        <f t="shared" si="10"/>
        <v>0</v>
      </c>
      <c r="V22" s="120">
        <v>0</v>
      </c>
      <c r="W22" s="120"/>
      <c r="X22" s="120">
        <f t="shared" si="11"/>
        <v>0</v>
      </c>
      <c r="Y22" s="120">
        <v>0</v>
      </c>
      <c r="Z22" s="120"/>
      <c r="AA22" s="119">
        <f t="shared" si="25"/>
        <v>595</v>
      </c>
      <c r="AB22" s="120">
        <f t="shared" si="26"/>
        <v>0</v>
      </c>
      <c r="AC22" s="120">
        <f t="shared" si="27"/>
        <v>595</v>
      </c>
      <c r="AD22" s="120">
        <f t="shared" si="28"/>
        <v>595</v>
      </c>
      <c r="AE22" s="120">
        <f t="shared" si="29"/>
        <v>0</v>
      </c>
      <c r="AF22" s="120"/>
      <c r="AG22" s="120"/>
      <c r="AH22" s="120">
        <f t="shared" si="30"/>
        <v>595</v>
      </c>
      <c r="AI22" s="120">
        <v>595</v>
      </c>
      <c r="AJ22" s="120"/>
      <c r="AK22" s="120">
        <f t="shared" si="12"/>
        <v>0</v>
      </c>
      <c r="AL22" s="120">
        <f t="shared" si="13"/>
        <v>0</v>
      </c>
      <c r="AM22" s="120"/>
      <c r="AN22" s="120"/>
      <c r="AO22" s="120">
        <f t="shared" si="14"/>
        <v>0</v>
      </c>
      <c r="AP22" s="120"/>
      <c r="AQ22" s="120"/>
      <c r="AR22" s="120">
        <f t="shared" si="15"/>
        <v>0</v>
      </c>
      <c r="AS22" s="120">
        <f t="shared" si="16"/>
        <v>0</v>
      </c>
      <c r="AT22" s="120"/>
      <c r="AU22" s="120"/>
      <c r="AV22" s="120">
        <f t="shared" si="17"/>
        <v>0</v>
      </c>
      <c r="AW22" s="120"/>
      <c r="AX22" s="120"/>
      <c r="AY22" s="304">
        <f t="shared" si="18"/>
        <v>0.59499999999999997</v>
      </c>
      <c r="AZ22" s="304"/>
      <c r="BA22" s="304">
        <f t="shared" si="3"/>
        <v>0.59499999999999997</v>
      </c>
      <c r="BB22" s="304">
        <f t="shared" si="3"/>
        <v>0.59499999999999997</v>
      </c>
      <c r="BC22" s="304"/>
      <c r="BD22" s="304"/>
      <c r="BE22" s="304"/>
      <c r="BF22" s="304">
        <f t="shared" si="3"/>
        <v>0.59499999999999997</v>
      </c>
      <c r="BG22" s="304">
        <f t="shared" si="3"/>
        <v>0.59499999999999997</v>
      </c>
      <c r="BH22" s="304"/>
      <c r="BI22" s="304"/>
      <c r="BJ22" s="304"/>
      <c r="BK22" s="304"/>
      <c r="BL22" s="304"/>
      <c r="BM22" s="304"/>
      <c r="BN22" s="304"/>
      <c r="BO22" s="304"/>
      <c r="BP22" s="304"/>
      <c r="BQ22" s="304"/>
      <c r="BR22" s="304"/>
      <c r="BS22" s="304"/>
      <c r="BT22" s="304"/>
      <c r="BU22" s="304"/>
      <c r="BV22" s="304"/>
    </row>
    <row r="23" spans="1:74" x14ac:dyDescent="0.25">
      <c r="A23" s="58">
        <v>10</v>
      </c>
      <c r="B23" s="59" t="s">
        <v>705</v>
      </c>
      <c r="C23" s="119">
        <f t="shared" si="19"/>
        <v>4546</v>
      </c>
      <c r="D23" s="120">
        <f t="shared" si="20"/>
        <v>0</v>
      </c>
      <c r="E23" s="120">
        <f t="shared" si="21"/>
        <v>4546</v>
      </c>
      <c r="F23" s="120">
        <f t="shared" si="22"/>
        <v>700</v>
      </c>
      <c r="G23" s="120">
        <f t="shared" si="23"/>
        <v>0</v>
      </c>
      <c r="H23" s="120"/>
      <c r="I23" s="120"/>
      <c r="J23" s="120">
        <f t="shared" si="24"/>
        <v>700</v>
      </c>
      <c r="K23" s="120">
        <v>700</v>
      </c>
      <c r="L23" s="120"/>
      <c r="M23" s="120">
        <f t="shared" si="6"/>
        <v>0</v>
      </c>
      <c r="N23" s="120">
        <f t="shared" si="7"/>
        <v>0</v>
      </c>
      <c r="O23" s="120">
        <v>0</v>
      </c>
      <c r="P23" s="120"/>
      <c r="Q23" s="120">
        <f t="shared" si="8"/>
        <v>0</v>
      </c>
      <c r="R23" s="120">
        <v>0</v>
      </c>
      <c r="S23" s="120"/>
      <c r="T23" s="120">
        <f t="shared" si="9"/>
        <v>3846</v>
      </c>
      <c r="U23" s="120">
        <f t="shared" si="10"/>
        <v>0</v>
      </c>
      <c r="V23" s="120">
        <v>0</v>
      </c>
      <c r="W23" s="120"/>
      <c r="X23" s="120">
        <f t="shared" si="11"/>
        <v>3846</v>
      </c>
      <c r="Y23" s="120">
        <v>3846</v>
      </c>
      <c r="Z23" s="120"/>
      <c r="AA23" s="119">
        <f t="shared" si="25"/>
        <v>859.14499999999987</v>
      </c>
      <c r="AB23" s="120">
        <f t="shared" si="26"/>
        <v>0</v>
      </c>
      <c r="AC23" s="120">
        <f t="shared" si="27"/>
        <v>859.14499999999987</v>
      </c>
      <c r="AD23" s="120">
        <f t="shared" si="28"/>
        <v>31.66</v>
      </c>
      <c r="AE23" s="120">
        <f t="shared" si="29"/>
        <v>0</v>
      </c>
      <c r="AF23" s="120"/>
      <c r="AG23" s="120"/>
      <c r="AH23" s="120">
        <f t="shared" si="30"/>
        <v>31.66</v>
      </c>
      <c r="AI23" s="120">
        <v>31.66</v>
      </c>
      <c r="AJ23" s="120"/>
      <c r="AK23" s="120">
        <f t="shared" si="12"/>
        <v>0</v>
      </c>
      <c r="AL23" s="120">
        <f t="shared" si="13"/>
        <v>0</v>
      </c>
      <c r="AM23" s="120"/>
      <c r="AN23" s="120"/>
      <c r="AO23" s="120">
        <f t="shared" si="14"/>
        <v>0</v>
      </c>
      <c r="AP23" s="120"/>
      <c r="AQ23" s="120"/>
      <c r="AR23" s="120">
        <f t="shared" si="15"/>
        <v>827.4849999999999</v>
      </c>
      <c r="AS23" s="120">
        <f t="shared" si="16"/>
        <v>0</v>
      </c>
      <c r="AT23" s="120"/>
      <c r="AU23" s="120"/>
      <c r="AV23" s="120">
        <f t="shared" si="17"/>
        <v>827.4849999999999</v>
      </c>
      <c r="AW23" s="120">
        <v>827.4849999999999</v>
      </c>
      <c r="AX23" s="120"/>
      <c r="AY23" s="304">
        <f t="shared" si="18"/>
        <v>0.18898922129344475</v>
      </c>
      <c r="AZ23" s="304"/>
      <c r="BA23" s="304">
        <f t="shared" si="3"/>
        <v>0.18898922129344475</v>
      </c>
      <c r="BB23" s="304">
        <f t="shared" si="3"/>
        <v>4.522857142857143E-2</v>
      </c>
      <c r="BC23" s="304"/>
      <c r="BD23" s="304"/>
      <c r="BE23" s="304"/>
      <c r="BF23" s="304">
        <f t="shared" si="3"/>
        <v>4.522857142857143E-2</v>
      </c>
      <c r="BG23" s="304">
        <f t="shared" si="3"/>
        <v>4.522857142857143E-2</v>
      </c>
      <c r="BH23" s="304"/>
      <c r="BI23" s="304"/>
      <c r="BJ23" s="304"/>
      <c r="BK23" s="304"/>
      <c r="BL23" s="304"/>
      <c r="BM23" s="304"/>
      <c r="BN23" s="304"/>
      <c r="BO23" s="304"/>
      <c r="BP23" s="304">
        <f t="shared" si="4"/>
        <v>0.2151547061882475</v>
      </c>
      <c r="BQ23" s="304"/>
      <c r="BR23" s="304"/>
      <c r="BS23" s="304"/>
      <c r="BT23" s="304">
        <f t="shared" si="4"/>
        <v>0.2151547061882475</v>
      </c>
      <c r="BU23" s="304">
        <f t="shared" si="4"/>
        <v>0.2151547061882475</v>
      </c>
      <c r="BV23" s="304"/>
    </row>
    <row r="24" spans="1:74" x14ac:dyDescent="0.25">
      <c r="A24" s="58">
        <v>11</v>
      </c>
      <c r="B24" s="59" t="s">
        <v>706</v>
      </c>
      <c r="C24" s="119">
        <f t="shared" si="19"/>
        <v>940</v>
      </c>
      <c r="D24" s="120">
        <f t="shared" si="20"/>
        <v>441</v>
      </c>
      <c r="E24" s="120">
        <f t="shared" si="21"/>
        <v>499</v>
      </c>
      <c r="F24" s="120">
        <f t="shared" si="22"/>
        <v>300</v>
      </c>
      <c r="G24" s="120">
        <f t="shared" si="23"/>
        <v>0</v>
      </c>
      <c r="H24" s="120"/>
      <c r="I24" s="120"/>
      <c r="J24" s="120">
        <f t="shared" si="24"/>
        <v>300</v>
      </c>
      <c r="K24" s="120">
        <v>300</v>
      </c>
      <c r="L24" s="120"/>
      <c r="M24" s="120">
        <f t="shared" si="6"/>
        <v>0</v>
      </c>
      <c r="N24" s="120">
        <f t="shared" si="7"/>
        <v>0</v>
      </c>
      <c r="O24" s="120">
        <v>0</v>
      </c>
      <c r="P24" s="120"/>
      <c r="Q24" s="120">
        <f t="shared" si="8"/>
        <v>0</v>
      </c>
      <c r="R24" s="120">
        <v>0</v>
      </c>
      <c r="S24" s="120"/>
      <c r="T24" s="120">
        <f t="shared" si="9"/>
        <v>640</v>
      </c>
      <c r="U24" s="120">
        <f t="shared" si="10"/>
        <v>441</v>
      </c>
      <c r="V24" s="120">
        <v>441</v>
      </c>
      <c r="W24" s="120"/>
      <c r="X24" s="120">
        <f t="shared" si="11"/>
        <v>199</v>
      </c>
      <c r="Y24" s="120">
        <v>199</v>
      </c>
      <c r="Z24" s="120"/>
      <c r="AA24" s="119">
        <f t="shared" si="25"/>
        <v>478.86558200000002</v>
      </c>
      <c r="AB24" s="120">
        <f t="shared" si="26"/>
        <v>0</v>
      </c>
      <c r="AC24" s="120">
        <f t="shared" si="27"/>
        <v>478.86558200000002</v>
      </c>
      <c r="AD24" s="120">
        <f t="shared" si="28"/>
        <v>299.97196600000001</v>
      </c>
      <c r="AE24" s="120">
        <f t="shared" si="29"/>
        <v>0</v>
      </c>
      <c r="AF24" s="120"/>
      <c r="AG24" s="120"/>
      <c r="AH24" s="120">
        <f t="shared" si="30"/>
        <v>299.97196600000001</v>
      </c>
      <c r="AI24" s="120">
        <v>299.97196600000001</v>
      </c>
      <c r="AJ24" s="120"/>
      <c r="AK24" s="120">
        <f t="shared" si="12"/>
        <v>0</v>
      </c>
      <c r="AL24" s="120">
        <f t="shared" si="13"/>
        <v>0</v>
      </c>
      <c r="AM24" s="120"/>
      <c r="AN24" s="120"/>
      <c r="AO24" s="120">
        <f t="shared" si="14"/>
        <v>0</v>
      </c>
      <c r="AP24" s="120"/>
      <c r="AQ24" s="120"/>
      <c r="AR24" s="120">
        <f t="shared" si="15"/>
        <v>178.89361600000001</v>
      </c>
      <c r="AS24" s="120">
        <f t="shared" si="16"/>
        <v>0</v>
      </c>
      <c r="AT24" s="120"/>
      <c r="AU24" s="120"/>
      <c r="AV24" s="120">
        <f t="shared" si="17"/>
        <v>178.89361600000001</v>
      </c>
      <c r="AW24" s="120">
        <v>178.89361600000001</v>
      </c>
      <c r="AX24" s="120"/>
      <c r="AY24" s="304">
        <f t="shared" si="18"/>
        <v>0.50943147021276602</v>
      </c>
      <c r="AZ24" s="304">
        <f t="shared" si="18"/>
        <v>0</v>
      </c>
      <c r="BA24" s="304">
        <f t="shared" si="3"/>
        <v>0.95965046492985973</v>
      </c>
      <c r="BB24" s="304">
        <f t="shared" si="3"/>
        <v>0.99990655333333334</v>
      </c>
      <c r="BC24" s="304"/>
      <c r="BD24" s="304"/>
      <c r="BE24" s="304"/>
      <c r="BF24" s="304">
        <f t="shared" si="3"/>
        <v>0.99990655333333334</v>
      </c>
      <c r="BG24" s="304">
        <f t="shared" si="3"/>
        <v>0.99990655333333334</v>
      </c>
      <c r="BH24" s="304"/>
      <c r="BI24" s="304"/>
      <c r="BJ24" s="304"/>
      <c r="BK24" s="304"/>
      <c r="BL24" s="304"/>
      <c r="BM24" s="304"/>
      <c r="BN24" s="304"/>
      <c r="BO24" s="304"/>
      <c r="BP24" s="304">
        <f t="shared" si="4"/>
        <v>0.27952127500000001</v>
      </c>
      <c r="BQ24" s="304">
        <f t="shared" si="4"/>
        <v>0</v>
      </c>
      <c r="BR24" s="304">
        <f t="shared" si="4"/>
        <v>0</v>
      </c>
      <c r="BS24" s="304"/>
      <c r="BT24" s="304">
        <f t="shared" si="4"/>
        <v>0.89896289447236188</v>
      </c>
      <c r="BU24" s="304">
        <f t="shared" si="4"/>
        <v>0.89896289447236188</v>
      </c>
      <c r="BV24" s="304"/>
    </row>
    <row r="25" spans="1:74" x14ac:dyDescent="0.25">
      <c r="A25" s="58">
        <v>12</v>
      </c>
      <c r="B25" s="59" t="s">
        <v>707</v>
      </c>
      <c r="C25" s="119">
        <f t="shared" si="19"/>
        <v>197</v>
      </c>
      <c r="D25" s="120">
        <f t="shared" si="20"/>
        <v>0</v>
      </c>
      <c r="E25" s="120">
        <f t="shared" si="21"/>
        <v>197</v>
      </c>
      <c r="F25" s="120">
        <f t="shared" si="22"/>
        <v>90</v>
      </c>
      <c r="G25" s="120">
        <f t="shared" si="23"/>
        <v>0</v>
      </c>
      <c r="H25" s="120"/>
      <c r="I25" s="120"/>
      <c r="J25" s="120">
        <f t="shared" si="24"/>
        <v>90</v>
      </c>
      <c r="K25" s="120">
        <v>90</v>
      </c>
      <c r="L25" s="120"/>
      <c r="M25" s="120">
        <f t="shared" si="6"/>
        <v>0</v>
      </c>
      <c r="N25" s="120">
        <f t="shared" si="7"/>
        <v>0</v>
      </c>
      <c r="O25" s="120">
        <v>0</v>
      </c>
      <c r="P25" s="120"/>
      <c r="Q25" s="120">
        <f t="shared" si="8"/>
        <v>0</v>
      </c>
      <c r="R25" s="120">
        <v>0</v>
      </c>
      <c r="S25" s="120"/>
      <c r="T25" s="120">
        <f t="shared" si="9"/>
        <v>107</v>
      </c>
      <c r="U25" s="120">
        <f t="shared" si="10"/>
        <v>0</v>
      </c>
      <c r="V25" s="120">
        <v>0</v>
      </c>
      <c r="W25" s="120"/>
      <c r="X25" s="120">
        <f t="shared" si="11"/>
        <v>107</v>
      </c>
      <c r="Y25" s="120">
        <v>107</v>
      </c>
      <c r="Z25" s="120"/>
      <c r="AA25" s="119">
        <f t="shared" si="25"/>
        <v>125.23672999999999</v>
      </c>
      <c r="AB25" s="120">
        <f t="shared" si="26"/>
        <v>0</v>
      </c>
      <c r="AC25" s="120">
        <f t="shared" si="27"/>
        <v>125.23672999999999</v>
      </c>
      <c r="AD25" s="120">
        <f t="shared" si="28"/>
        <v>89.65325</v>
      </c>
      <c r="AE25" s="120">
        <f t="shared" si="29"/>
        <v>0</v>
      </c>
      <c r="AF25" s="120"/>
      <c r="AG25" s="120"/>
      <c r="AH25" s="120">
        <f t="shared" si="30"/>
        <v>89.65325</v>
      </c>
      <c r="AI25" s="120">
        <v>89.65325</v>
      </c>
      <c r="AJ25" s="120"/>
      <c r="AK25" s="120">
        <f t="shared" si="12"/>
        <v>0</v>
      </c>
      <c r="AL25" s="120">
        <f t="shared" si="13"/>
        <v>0</v>
      </c>
      <c r="AM25" s="120"/>
      <c r="AN25" s="120"/>
      <c r="AO25" s="120">
        <f t="shared" si="14"/>
        <v>0</v>
      </c>
      <c r="AP25" s="120"/>
      <c r="AQ25" s="120"/>
      <c r="AR25" s="120">
        <f t="shared" si="15"/>
        <v>35.583480000000002</v>
      </c>
      <c r="AS25" s="120">
        <f t="shared" si="16"/>
        <v>0</v>
      </c>
      <c r="AT25" s="120"/>
      <c r="AU25" s="120"/>
      <c r="AV25" s="120">
        <f t="shared" si="17"/>
        <v>35.583480000000002</v>
      </c>
      <c r="AW25" s="120">
        <v>35.583480000000002</v>
      </c>
      <c r="AX25" s="120"/>
      <c r="AY25" s="304">
        <f t="shared" si="18"/>
        <v>0.63571944162436544</v>
      </c>
      <c r="AZ25" s="304"/>
      <c r="BA25" s="304">
        <f t="shared" si="3"/>
        <v>0.63571944162436544</v>
      </c>
      <c r="BB25" s="304">
        <f t="shared" si="3"/>
        <v>0.99614722222222218</v>
      </c>
      <c r="BC25" s="304"/>
      <c r="BD25" s="304"/>
      <c r="BE25" s="304"/>
      <c r="BF25" s="304">
        <f t="shared" si="3"/>
        <v>0.99614722222222218</v>
      </c>
      <c r="BG25" s="304">
        <f t="shared" si="3"/>
        <v>0.99614722222222218</v>
      </c>
      <c r="BH25" s="304"/>
      <c r="BI25" s="304"/>
      <c r="BJ25" s="304"/>
      <c r="BK25" s="304"/>
      <c r="BL25" s="304"/>
      <c r="BM25" s="304"/>
      <c r="BN25" s="304"/>
      <c r="BO25" s="304"/>
      <c r="BP25" s="304">
        <f t="shared" si="4"/>
        <v>0.3325558878504673</v>
      </c>
      <c r="BQ25" s="304"/>
      <c r="BR25" s="304"/>
      <c r="BS25" s="304"/>
      <c r="BT25" s="304">
        <f t="shared" si="4"/>
        <v>0.3325558878504673</v>
      </c>
      <c r="BU25" s="304">
        <f t="shared" si="4"/>
        <v>0.3325558878504673</v>
      </c>
      <c r="BV25" s="304"/>
    </row>
    <row r="26" spans="1:74" x14ac:dyDescent="0.25">
      <c r="A26" s="58">
        <v>13</v>
      </c>
      <c r="B26" s="59" t="s">
        <v>708</v>
      </c>
      <c r="C26" s="119">
        <f t="shared" si="19"/>
        <v>507</v>
      </c>
      <c r="D26" s="120">
        <f t="shared" si="20"/>
        <v>0</v>
      </c>
      <c r="E26" s="120">
        <f t="shared" si="21"/>
        <v>507</v>
      </c>
      <c r="F26" s="120">
        <f t="shared" si="22"/>
        <v>400</v>
      </c>
      <c r="G26" s="120">
        <f t="shared" si="23"/>
        <v>0</v>
      </c>
      <c r="H26" s="120"/>
      <c r="I26" s="120"/>
      <c r="J26" s="120">
        <f t="shared" si="24"/>
        <v>400</v>
      </c>
      <c r="K26" s="120">
        <v>400</v>
      </c>
      <c r="L26" s="120"/>
      <c r="M26" s="120">
        <f t="shared" si="6"/>
        <v>0</v>
      </c>
      <c r="N26" s="120">
        <f t="shared" si="7"/>
        <v>0</v>
      </c>
      <c r="O26" s="120">
        <v>0</v>
      </c>
      <c r="P26" s="120"/>
      <c r="Q26" s="120">
        <f t="shared" si="8"/>
        <v>0</v>
      </c>
      <c r="R26" s="120">
        <v>0</v>
      </c>
      <c r="S26" s="120"/>
      <c r="T26" s="120">
        <f t="shared" si="9"/>
        <v>107</v>
      </c>
      <c r="U26" s="120">
        <f t="shared" si="10"/>
        <v>0</v>
      </c>
      <c r="V26" s="120">
        <v>0</v>
      </c>
      <c r="W26" s="120"/>
      <c r="X26" s="120">
        <f t="shared" si="11"/>
        <v>107</v>
      </c>
      <c r="Y26" s="120">
        <v>107</v>
      </c>
      <c r="Z26" s="120"/>
      <c r="AA26" s="119">
        <f t="shared" si="25"/>
        <v>24</v>
      </c>
      <c r="AB26" s="120">
        <f t="shared" si="26"/>
        <v>0</v>
      </c>
      <c r="AC26" s="120">
        <f t="shared" si="27"/>
        <v>24</v>
      </c>
      <c r="AD26" s="120">
        <f t="shared" si="28"/>
        <v>0</v>
      </c>
      <c r="AE26" s="120">
        <f t="shared" si="29"/>
        <v>0</v>
      </c>
      <c r="AF26" s="120"/>
      <c r="AG26" s="120"/>
      <c r="AH26" s="120">
        <f t="shared" si="30"/>
        <v>0</v>
      </c>
      <c r="AI26" s="120"/>
      <c r="AJ26" s="120"/>
      <c r="AK26" s="120">
        <f t="shared" si="12"/>
        <v>0</v>
      </c>
      <c r="AL26" s="120">
        <f t="shared" si="13"/>
        <v>0</v>
      </c>
      <c r="AM26" s="120"/>
      <c r="AN26" s="120"/>
      <c r="AO26" s="120">
        <f t="shared" si="14"/>
        <v>0</v>
      </c>
      <c r="AP26" s="120"/>
      <c r="AQ26" s="120"/>
      <c r="AR26" s="120">
        <f t="shared" si="15"/>
        <v>24</v>
      </c>
      <c r="AS26" s="120">
        <f t="shared" si="16"/>
        <v>0</v>
      </c>
      <c r="AT26" s="120"/>
      <c r="AU26" s="120"/>
      <c r="AV26" s="120">
        <f t="shared" si="17"/>
        <v>24</v>
      </c>
      <c r="AW26" s="120">
        <v>24</v>
      </c>
      <c r="AX26" s="120"/>
      <c r="AY26" s="304">
        <f t="shared" si="18"/>
        <v>4.7337278106508875E-2</v>
      </c>
      <c r="AZ26" s="304"/>
      <c r="BA26" s="304">
        <f t="shared" si="3"/>
        <v>4.7337278106508875E-2</v>
      </c>
      <c r="BB26" s="304">
        <f t="shared" si="3"/>
        <v>0</v>
      </c>
      <c r="BC26" s="304"/>
      <c r="BD26" s="304"/>
      <c r="BE26" s="304"/>
      <c r="BF26" s="304">
        <f t="shared" si="3"/>
        <v>0</v>
      </c>
      <c r="BG26" s="304">
        <f t="shared" si="3"/>
        <v>0</v>
      </c>
      <c r="BH26" s="304"/>
      <c r="BI26" s="304"/>
      <c r="BJ26" s="304"/>
      <c r="BK26" s="304"/>
      <c r="BL26" s="304"/>
      <c r="BM26" s="304"/>
      <c r="BN26" s="304"/>
      <c r="BO26" s="304"/>
      <c r="BP26" s="304">
        <f t="shared" si="4"/>
        <v>0.22429906542056074</v>
      </c>
      <c r="BQ26" s="304"/>
      <c r="BR26" s="304"/>
      <c r="BS26" s="304"/>
      <c r="BT26" s="304">
        <f t="shared" si="4"/>
        <v>0.22429906542056074</v>
      </c>
      <c r="BU26" s="304">
        <f t="shared" si="4"/>
        <v>0.22429906542056074</v>
      </c>
      <c r="BV26" s="304"/>
    </row>
    <row r="27" spans="1:74" ht="25.5" x14ac:dyDescent="0.25">
      <c r="A27" s="58">
        <v>14</v>
      </c>
      <c r="B27" s="59" t="s">
        <v>709</v>
      </c>
      <c r="C27" s="119">
        <f t="shared" si="19"/>
        <v>25</v>
      </c>
      <c r="D27" s="120">
        <f t="shared" si="20"/>
        <v>0</v>
      </c>
      <c r="E27" s="120">
        <f t="shared" si="21"/>
        <v>25</v>
      </c>
      <c r="F27" s="120">
        <f t="shared" si="22"/>
        <v>0</v>
      </c>
      <c r="G27" s="120">
        <f t="shared" si="23"/>
        <v>0</v>
      </c>
      <c r="H27" s="120"/>
      <c r="I27" s="120"/>
      <c r="J27" s="120">
        <f t="shared" si="24"/>
        <v>0</v>
      </c>
      <c r="K27" s="120"/>
      <c r="L27" s="120"/>
      <c r="M27" s="120">
        <f t="shared" si="6"/>
        <v>0</v>
      </c>
      <c r="N27" s="120">
        <f t="shared" si="7"/>
        <v>0</v>
      </c>
      <c r="O27" s="120">
        <v>0</v>
      </c>
      <c r="P27" s="120"/>
      <c r="Q27" s="120">
        <f t="shared" si="8"/>
        <v>0</v>
      </c>
      <c r="R27" s="120">
        <v>0</v>
      </c>
      <c r="S27" s="120"/>
      <c r="T27" s="120">
        <f t="shared" si="9"/>
        <v>25</v>
      </c>
      <c r="U27" s="120">
        <f t="shared" si="10"/>
        <v>0</v>
      </c>
      <c r="V27" s="120">
        <v>0</v>
      </c>
      <c r="W27" s="120"/>
      <c r="X27" s="120">
        <f t="shared" si="11"/>
        <v>25</v>
      </c>
      <c r="Y27" s="120">
        <v>25</v>
      </c>
      <c r="Z27" s="120"/>
      <c r="AA27" s="119">
        <f t="shared" si="25"/>
        <v>4.5990000000000002</v>
      </c>
      <c r="AB27" s="120">
        <f t="shared" si="26"/>
        <v>0</v>
      </c>
      <c r="AC27" s="120">
        <f t="shared" si="27"/>
        <v>4.5990000000000002</v>
      </c>
      <c r="AD27" s="120">
        <f t="shared" si="28"/>
        <v>0</v>
      </c>
      <c r="AE27" s="120">
        <f t="shared" si="29"/>
        <v>0</v>
      </c>
      <c r="AF27" s="120"/>
      <c r="AG27" s="120"/>
      <c r="AH27" s="120">
        <f t="shared" si="30"/>
        <v>0</v>
      </c>
      <c r="AI27" s="120"/>
      <c r="AJ27" s="120"/>
      <c r="AK27" s="120">
        <f t="shared" si="12"/>
        <v>0</v>
      </c>
      <c r="AL27" s="120">
        <f t="shared" si="13"/>
        <v>0</v>
      </c>
      <c r="AM27" s="120"/>
      <c r="AN27" s="120"/>
      <c r="AO27" s="120">
        <f t="shared" si="14"/>
        <v>0</v>
      </c>
      <c r="AP27" s="120"/>
      <c r="AQ27" s="120"/>
      <c r="AR27" s="120">
        <f t="shared" si="15"/>
        <v>4.5990000000000002</v>
      </c>
      <c r="AS27" s="120">
        <f t="shared" si="16"/>
        <v>0</v>
      </c>
      <c r="AT27" s="120"/>
      <c r="AU27" s="120"/>
      <c r="AV27" s="120">
        <f t="shared" si="17"/>
        <v>4.5990000000000002</v>
      </c>
      <c r="AW27" s="120">
        <v>4.5990000000000002</v>
      </c>
      <c r="AX27" s="120"/>
      <c r="AY27" s="304">
        <f t="shared" si="18"/>
        <v>0.18396000000000001</v>
      </c>
      <c r="AZ27" s="304"/>
      <c r="BA27" s="304">
        <f t="shared" si="3"/>
        <v>0.18396000000000001</v>
      </c>
      <c r="BB27" s="304"/>
      <c r="BC27" s="304"/>
      <c r="BD27" s="304"/>
      <c r="BE27" s="304"/>
      <c r="BF27" s="304"/>
      <c r="BG27" s="304"/>
      <c r="BH27" s="304"/>
      <c r="BI27" s="304"/>
      <c r="BJ27" s="304"/>
      <c r="BK27" s="304"/>
      <c r="BL27" s="304"/>
      <c r="BM27" s="304"/>
      <c r="BN27" s="304"/>
      <c r="BO27" s="304"/>
      <c r="BP27" s="304">
        <f t="shared" si="4"/>
        <v>0.18396000000000001</v>
      </c>
      <c r="BQ27" s="304"/>
      <c r="BR27" s="304"/>
      <c r="BS27" s="304"/>
      <c r="BT27" s="304">
        <f t="shared" si="4"/>
        <v>0.18396000000000001</v>
      </c>
      <c r="BU27" s="304">
        <f t="shared" si="4"/>
        <v>0.18396000000000001</v>
      </c>
      <c r="BV27" s="304"/>
    </row>
    <row r="28" spans="1:74" x14ac:dyDescent="0.25">
      <c r="A28" s="58">
        <v>15</v>
      </c>
      <c r="B28" s="59" t="s">
        <v>710</v>
      </c>
      <c r="C28" s="119">
        <f t="shared" si="19"/>
        <v>8</v>
      </c>
      <c r="D28" s="120">
        <f t="shared" si="20"/>
        <v>0</v>
      </c>
      <c r="E28" s="120">
        <f t="shared" si="21"/>
        <v>8</v>
      </c>
      <c r="F28" s="120">
        <f t="shared" si="22"/>
        <v>0</v>
      </c>
      <c r="G28" s="120">
        <f t="shared" si="23"/>
        <v>0</v>
      </c>
      <c r="H28" s="120"/>
      <c r="I28" s="120"/>
      <c r="J28" s="120">
        <f t="shared" si="24"/>
        <v>0</v>
      </c>
      <c r="K28" s="120"/>
      <c r="L28" s="120"/>
      <c r="M28" s="120">
        <f t="shared" si="6"/>
        <v>0</v>
      </c>
      <c r="N28" s="120">
        <f t="shared" si="7"/>
        <v>0</v>
      </c>
      <c r="O28" s="120">
        <v>0</v>
      </c>
      <c r="P28" s="120"/>
      <c r="Q28" s="120">
        <f t="shared" si="8"/>
        <v>0</v>
      </c>
      <c r="R28" s="120">
        <v>0</v>
      </c>
      <c r="S28" s="120"/>
      <c r="T28" s="120">
        <f t="shared" si="9"/>
        <v>8</v>
      </c>
      <c r="U28" s="120">
        <f t="shared" si="10"/>
        <v>0</v>
      </c>
      <c r="V28" s="120">
        <v>0</v>
      </c>
      <c r="W28" s="120"/>
      <c r="X28" s="120">
        <f t="shared" si="11"/>
        <v>8</v>
      </c>
      <c r="Y28" s="120">
        <v>8</v>
      </c>
      <c r="Z28" s="120"/>
      <c r="AA28" s="119">
        <f t="shared" si="25"/>
        <v>4.8314680000000001</v>
      </c>
      <c r="AB28" s="120">
        <f t="shared" si="26"/>
        <v>0</v>
      </c>
      <c r="AC28" s="120">
        <f t="shared" si="27"/>
        <v>4.8314680000000001</v>
      </c>
      <c r="AD28" s="120">
        <f t="shared" si="28"/>
        <v>0</v>
      </c>
      <c r="AE28" s="120">
        <f t="shared" si="29"/>
        <v>0</v>
      </c>
      <c r="AF28" s="120"/>
      <c r="AG28" s="120"/>
      <c r="AH28" s="120">
        <f t="shared" si="30"/>
        <v>0</v>
      </c>
      <c r="AI28" s="120"/>
      <c r="AJ28" s="120"/>
      <c r="AK28" s="120">
        <f t="shared" si="12"/>
        <v>0</v>
      </c>
      <c r="AL28" s="120">
        <f t="shared" si="13"/>
        <v>0</v>
      </c>
      <c r="AM28" s="120"/>
      <c r="AN28" s="120"/>
      <c r="AO28" s="120">
        <f t="shared" si="14"/>
        <v>0</v>
      </c>
      <c r="AP28" s="120"/>
      <c r="AQ28" s="120"/>
      <c r="AR28" s="120">
        <f t="shared" si="15"/>
        <v>4.8314680000000001</v>
      </c>
      <c r="AS28" s="120">
        <f t="shared" si="16"/>
        <v>0</v>
      </c>
      <c r="AT28" s="120"/>
      <c r="AU28" s="120"/>
      <c r="AV28" s="120">
        <f t="shared" si="17"/>
        <v>4.8314680000000001</v>
      </c>
      <c r="AW28" s="120">
        <v>4.8314680000000001</v>
      </c>
      <c r="AX28" s="120"/>
      <c r="AY28" s="304">
        <f t="shared" si="18"/>
        <v>0.60393350000000001</v>
      </c>
      <c r="AZ28" s="304"/>
      <c r="BA28" s="304">
        <f t="shared" ref="BA28:BB40" si="31">AC28/E28</f>
        <v>0.60393350000000001</v>
      </c>
      <c r="BB28" s="304"/>
      <c r="BC28" s="304"/>
      <c r="BD28" s="304"/>
      <c r="BE28" s="304"/>
      <c r="BF28" s="304"/>
      <c r="BG28" s="304"/>
      <c r="BH28" s="304"/>
      <c r="BI28" s="304"/>
      <c r="BJ28" s="304"/>
      <c r="BK28" s="304"/>
      <c r="BL28" s="304"/>
      <c r="BM28" s="304"/>
      <c r="BN28" s="304"/>
      <c r="BO28" s="304"/>
      <c r="BP28" s="304">
        <f t="shared" ref="BP28:BR40" si="32">AR28/T28</f>
        <v>0.60393350000000001</v>
      </c>
      <c r="BQ28" s="304"/>
      <c r="BR28" s="304"/>
      <c r="BS28" s="304"/>
      <c r="BT28" s="304">
        <f t="shared" ref="BT28:BU40" si="33">AV28/X28</f>
        <v>0.60393350000000001</v>
      </c>
      <c r="BU28" s="304">
        <f t="shared" si="33"/>
        <v>0.60393350000000001</v>
      </c>
      <c r="BV28" s="304"/>
    </row>
    <row r="29" spans="1:74" ht="22.5" customHeight="1" x14ac:dyDescent="0.25">
      <c r="A29" s="58">
        <v>16</v>
      </c>
      <c r="B29" s="59" t="s">
        <v>711</v>
      </c>
      <c r="C29" s="119">
        <f t="shared" si="19"/>
        <v>3878</v>
      </c>
      <c r="D29" s="120">
        <f t="shared" si="20"/>
        <v>661</v>
      </c>
      <c r="E29" s="120">
        <f t="shared" si="21"/>
        <v>3217</v>
      </c>
      <c r="F29" s="120">
        <f t="shared" si="22"/>
        <v>3000</v>
      </c>
      <c r="G29" s="120">
        <f t="shared" si="23"/>
        <v>0</v>
      </c>
      <c r="H29" s="120"/>
      <c r="I29" s="120"/>
      <c r="J29" s="120">
        <f t="shared" si="24"/>
        <v>3000</v>
      </c>
      <c r="K29" s="120">
        <v>3000</v>
      </c>
      <c r="L29" s="120"/>
      <c r="M29" s="120">
        <f t="shared" si="6"/>
        <v>117</v>
      </c>
      <c r="N29" s="120">
        <f t="shared" si="7"/>
        <v>0</v>
      </c>
      <c r="O29" s="120">
        <v>0</v>
      </c>
      <c r="P29" s="120"/>
      <c r="Q29" s="120">
        <f t="shared" si="8"/>
        <v>117</v>
      </c>
      <c r="R29" s="120">
        <v>117</v>
      </c>
      <c r="S29" s="120"/>
      <c r="T29" s="120">
        <f t="shared" si="9"/>
        <v>761</v>
      </c>
      <c r="U29" s="120">
        <f t="shared" si="10"/>
        <v>661</v>
      </c>
      <c r="V29" s="120">
        <v>661</v>
      </c>
      <c r="W29" s="120"/>
      <c r="X29" s="120">
        <f t="shared" si="11"/>
        <v>100</v>
      </c>
      <c r="Y29" s="120">
        <v>100</v>
      </c>
      <c r="Z29" s="120"/>
      <c r="AA29" s="119">
        <f t="shared" si="25"/>
        <v>396.416</v>
      </c>
      <c r="AB29" s="120">
        <f t="shared" si="26"/>
        <v>0</v>
      </c>
      <c r="AC29" s="120">
        <f t="shared" si="27"/>
        <v>396.416</v>
      </c>
      <c r="AD29" s="120">
        <f t="shared" si="28"/>
        <v>235.93</v>
      </c>
      <c r="AE29" s="120">
        <f t="shared" si="29"/>
        <v>0</v>
      </c>
      <c r="AF29" s="120"/>
      <c r="AG29" s="120"/>
      <c r="AH29" s="120">
        <f t="shared" si="30"/>
        <v>235.93</v>
      </c>
      <c r="AI29" s="120">
        <v>235.93</v>
      </c>
      <c r="AJ29" s="120"/>
      <c r="AK29" s="120">
        <f t="shared" si="12"/>
        <v>77.486000000000004</v>
      </c>
      <c r="AL29" s="120">
        <f t="shared" si="13"/>
        <v>0</v>
      </c>
      <c r="AM29" s="120"/>
      <c r="AN29" s="120"/>
      <c r="AO29" s="120">
        <f t="shared" si="14"/>
        <v>77.486000000000004</v>
      </c>
      <c r="AP29" s="120">
        <v>77.486000000000004</v>
      </c>
      <c r="AQ29" s="120"/>
      <c r="AR29" s="120">
        <f t="shared" si="15"/>
        <v>83</v>
      </c>
      <c r="AS29" s="120">
        <f t="shared" si="16"/>
        <v>0</v>
      </c>
      <c r="AT29" s="120"/>
      <c r="AU29" s="120"/>
      <c r="AV29" s="120">
        <f t="shared" si="17"/>
        <v>83</v>
      </c>
      <c r="AW29" s="120">
        <v>83</v>
      </c>
      <c r="AX29" s="120"/>
      <c r="AY29" s="304">
        <f t="shared" si="18"/>
        <v>0.10222176379577101</v>
      </c>
      <c r="AZ29" s="304">
        <f t="shared" si="18"/>
        <v>0</v>
      </c>
      <c r="BA29" s="304">
        <f t="shared" si="31"/>
        <v>0.12322536524712464</v>
      </c>
      <c r="BB29" s="304">
        <f t="shared" si="31"/>
        <v>7.8643333333333329E-2</v>
      </c>
      <c r="BC29" s="304"/>
      <c r="BD29" s="304"/>
      <c r="BE29" s="304"/>
      <c r="BF29" s="304">
        <f t="shared" ref="BF29:BG40" si="34">AH29/J29</f>
        <v>7.8643333333333329E-2</v>
      </c>
      <c r="BG29" s="304">
        <f t="shared" si="34"/>
        <v>7.8643333333333329E-2</v>
      </c>
      <c r="BH29" s="304"/>
      <c r="BI29" s="304">
        <f t="shared" ref="BI29" si="35">AK29/M29</f>
        <v>0.66227350427350429</v>
      </c>
      <c r="BJ29" s="304"/>
      <c r="BK29" s="304"/>
      <c r="BL29" s="304"/>
      <c r="BM29" s="304">
        <f t="shared" ref="BM29:BN29" si="36">AO29/Q29</f>
        <v>0.66227350427350429</v>
      </c>
      <c r="BN29" s="304">
        <f t="shared" si="36"/>
        <v>0.66227350427350429</v>
      </c>
      <c r="BO29" s="304"/>
      <c r="BP29" s="304">
        <f t="shared" si="32"/>
        <v>0.10906701708278581</v>
      </c>
      <c r="BQ29" s="304">
        <f t="shared" si="32"/>
        <v>0</v>
      </c>
      <c r="BR29" s="304">
        <f t="shared" si="32"/>
        <v>0</v>
      </c>
      <c r="BS29" s="304"/>
      <c r="BT29" s="304">
        <f t="shared" si="33"/>
        <v>0.83</v>
      </c>
      <c r="BU29" s="304">
        <f t="shared" si="33"/>
        <v>0.83</v>
      </c>
      <c r="BV29" s="304"/>
    </row>
    <row r="30" spans="1:74" x14ac:dyDescent="0.25">
      <c r="A30" s="58">
        <v>17</v>
      </c>
      <c r="B30" s="59" t="s">
        <v>712</v>
      </c>
      <c r="C30" s="119">
        <f t="shared" si="19"/>
        <v>8</v>
      </c>
      <c r="D30" s="120">
        <f t="shared" si="20"/>
        <v>0</v>
      </c>
      <c r="E30" s="120">
        <f t="shared" si="21"/>
        <v>8</v>
      </c>
      <c r="F30" s="120">
        <f t="shared" si="22"/>
        <v>0</v>
      </c>
      <c r="G30" s="120">
        <f t="shared" si="23"/>
        <v>0</v>
      </c>
      <c r="H30" s="120"/>
      <c r="I30" s="120"/>
      <c r="J30" s="120">
        <f t="shared" si="24"/>
        <v>0</v>
      </c>
      <c r="K30" s="120"/>
      <c r="L30" s="120"/>
      <c r="M30" s="120">
        <f t="shared" si="6"/>
        <v>0</v>
      </c>
      <c r="N30" s="120">
        <f t="shared" si="7"/>
        <v>0</v>
      </c>
      <c r="O30" s="120">
        <v>0</v>
      </c>
      <c r="P30" s="120"/>
      <c r="Q30" s="120">
        <f t="shared" si="8"/>
        <v>0</v>
      </c>
      <c r="R30" s="120">
        <v>0</v>
      </c>
      <c r="S30" s="120"/>
      <c r="T30" s="120">
        <f t="shared" si="9"/>
        <v>8</v>
      </c>
      <c r="U30" s="120">
        <f t="shared" si="10"/>
        <v>0</v>
      </c>
      <c r="V30" s="120">
        <v>0</v>
      </c>
      <c r="W30" s="120"/>
      <c r="X30" s="120">
        <f t="shared" si="11"/>
        <v>8</v>
      </c>
      <c r="Y30" s="120">
        <v>8</v>
      </c>
      <c r="Z30" s="120"/>
      <c r="AA30" s="119">
        <f t="shared" si="25"/>
        <v>7.6</v>
      </c>
      <c r="AB30" s="120">
        <f t="shared" si="26"/>
        <v>0</v>
      </c>
      <c r="AC30" s="120">
        <f t="shared" si="27"/>
        <v>7.6</v>
      </c>
      <c r="AD30" s="120">
        <f t="shared" si="28"/>
        <v>0</v>
      </c>
      <c r="AE30" s="120">
        <f t="shared" si="29"/>
        <v>0</v>
      </c>
      <c r="AF30" s="120"/>
      <c r="AG30" s="120"/>
      <c r="AH30" s="120">
        <f t="shared" si="30"/>
        <v>0</v>
      </c>
      <c r="AI30" s="120"/>
      <c r="AJ30" s="120"/>
      <c r="AK30" s="120">
        <f t="shared" si="12"/>
        <v>0</v>
      </c>
      <c r="AL30" s="120">
        <f t="shared" si="13"/>
        <v>0</v>
      </c>
      <c r="AM30" s="120"/>
      <c r="AN30" s="120"/>
      <c r="AO30" s="120">
        <f t="shared" si="14"/>
        <v>0</v>
      </c>
      <c r="AP30" s="120"/>
      <c r="AQ30" s="120"/>
      <c r="AR30" s="120">
        <f t="shared" si="15"/>
        <v>7.6</v>
      </c>
      <c r="AS30" s="120">
        <f t="shared" si="16"/>
        <v>0</v>
      </c>
      <c r="AT30" s="120"/>
      <c r="AU30" s="120"/>
      <c r="AV30" s="120">
        <f t="shared" si="17"/>
        <v>7.6</v>
      </c>
      <c r="AW30" s="120">
        <v>7.6</v>
      </c>
      <c r="AX30" s="120"/>
      <c r="AY30" s="304">
        <f t="shared" si="18"/>
        <v>0.95</v>
      </c>
      <c r="AZ30" s="304"/>
      <c r="BA30" s="304">
        <f t="shared" si="31"/>
        <v>0.95</v>
      </c>
      <c r="BB30" s="304"/>
      <c r="BC30" s="304"/>
      <c r="BD30" s="304"/>
      <c r="BE30" s="304"/>
      <c r="BF30" s="304"/>
      <c r="BG30" s="304"/>
      <c r="BH30" s="304"/>
      <c r="BI30" s="304"/>
      <c r="BJ30" s="304"/>
      <c r="BK30" s="304"/>
      <c r="BL30" s="304"/>
      <c r="BM30" s="304"/>
      <c r="BN30" s="304"/>
      <c r="BO30" s="304"/>
      <c r="BP30" s="304">
        <f t="shared" si="32"/>
        <v>0.95</v>
      </c>
      <c r="BQ30" s="304"/>
      <c r="BR30" s="304"/>
      <c r="BS30" s="304"/>
      <c r="BT30" s="304">
        <f t="shared" si="33"/>
        <v>0.95</v>
      </c>
      <c r="BU30" s="304">
        <f t="shared" si="33"/>
        <v>0.95</v>
      </c>
      <c r="BV30" s="304"/>
    </row>
    <row r="31" spans="1:74" x14ac:dyDescent="0.25">
      <c r="A31" s="58">
        <v>18</v>
      </c>
      <c r="B31" s="59" t="s">
        <v>302</v>
      </c>
      <c r="C31" s="119">
        <f t="shared" si="19"/>
        <v>8</v>
      </c>
      <c r="D31" s="120">
        <f t="shared" si="20"/>
        <v>0</v>
      </c>
      <c r="E31" s="120">
        <f t="shared" si="21"/>
        <v>8</v>
      </c>
      <c r="F31" s="120">
        <f t="shared" si="22"/>
        <v>0</v>
      </c>
      <c r="G31" s="120">
        <f t="shared" si="23"/>
        <v>0</v>
      </c>
      <c r="H31" s="120"/>
      <c r="I31" s="120"/>
      <c r="J31" s="120">
        <f t="shared" si="24"/>
        <v>0</v>
      </c>
      <c r="K31" s="120"/>
      <c r="L31" s="120"/>
      <c r="M31" s="120">
        <f t="shared" si="6"/>
        <v>0</v>
      </c>
      <c r="N31" s="120">
        <f t="shared" si="7"/>
        <v>0</v>
      </c>
      <c r="O31" s="120">
        <v>0</v>
      </c>
      <c r="P31" s="120"/>
      <c r="Q31" s="120">
        <f t="shared" si="8"/>
        <v>0</v>
      </c>
      <c r="R31" s="120">
        <v>0</v>
      </c>
      <c r="S31" s="120"/>
      <c r="T31" s="120">
        <f t="shared" si="9"/>
        <v>8</v>
      </c>
      <c r="U31" s="120">
        <f t="shared" si="10"/>
        <v>0</v>
      </c>
      <c r="V31" s="120">
        <v>0</v>
      </c>
      <c r="W31" s="120"/>
      <c r="X31" s="120">
        <f t="shared" si="11"/>
        <v>8</v>
      </c>
      <c r="Y31" s="120">
        <v>8</v>
      </c>
      <c r="Z31" s="120"/>
      <c r="AA31" s="119">
        <f t="shared" si="25"/>
        <v>8</v>
      </c>
      <c r="AB31" s="120">
        <f t="shared" si="26"/>
        <v>0</v>
      </c>
      <c r="AC31" s="120">
        <f t="shared" si="27"/>
        <v>8</v>
      </c>
      <c r="AD31" s="120">
        <f t="shared" si="28"/>
        <v>0</v>
      </c>
      <c r="AE31" s="120">
        <f t="shared" si="29"/>
        <v>0</v>
      </c>
      <c r="AF31" s="120"/>
      <c r="AG31" s="120"/>
      <c r="AH31" s="120">
        <f t="shared" si="30"/>
        <v>0</v>
      </c>
      <c r="AI31" s="120"/>
      <c r="AJ31" s="120"/>
      <c r="AK31" s="120">
        <f t="shared" si="12"/>
        <v>0</v>
      </c>
      <c r="AL31" s="120">
        <f t="shared" si="13"/>
        <v>0</v>
      </c>
      <c r="AM31" s="120"/>
      <c r="AN31" s="120"/>
      <c r="AO31" s="120">
        <f t="shared" si="14"/>
        <v>0</v>
      </c>
      <c r="AP31" s="120"/>
      <c r="AQ31" s="120"/>
      <c r="AR31" s="120">
        <f t="shared" si="15"/>
        <v>8</v>
      </c>
      <c r="AS31" s="120">
        <f t="shared" si="16"/>
        <v>0</v>
      </c>
      <c r="AT31" s="120"/>
      <c r="AU31" s="120"/>
      <c r="AV31" s="120">
        <f t="shared" si="17"/>
        <v>8</v>
      </c>
      <c r="AW31" s="120">
        <v>8</v>
      </c>
      <c r="AX31" s="120"/>
      <c r="AY31" s="304">
        <f t="shared" si="18"/>
        <v>1</v>
      </c>
      <c r="AZ31" s="304"/>
      <c r="BA31" s="304">
        <f t="shared" si="31"/>
        <v>1</v>
      </c>
      <c r="BB31" s="304"/>
      <c r="BC31" s="304"/>
      <c r="BD31" s="304"/>
      <c r="BE31" s="304"/>
      <c r="BF31" s="304"/>
      <c r="BG31" s="304"/>
      <c r="BH31" s="304"/>
      <c r="BI31" s="304"/>
      <c r="BJ31" s="304"/>
      <c r="BK31" s="304"/>
      <c r="BL31" s="304"/>
      <c r="BM31" s="304"/>
      <c r="BN31" s="304"/>
      <c r="BO31" s="304"/>
      <c r="BP31" s="304">
        <f t="shared" si="32"/>
        <v>1</v>
      </c>
      <c r="BQ31" s="304"/>
      <c r="BR31" s="304"/>
      <c r="BS31" s="304"/>
      <c r="BT31" s="304">
        <f t="shared" si="33"/>
        <v>1</v>
      </c>
      <c r="BU31" s="304">
        <f t="shared" si="33"/>
        <v>1</v>
      </c>
      <c r="BV31" s="304"/>
    </row>
    <row r="32" spans="1:74" x14ac:dyDescent="0.25">
      <c r="A32" s="58">
        <v>19</v>
      </c>
      <c r="B32" s="59" t="s">
        <v>584</v>
      </c>
      <c r="C32" s="119">
        <f t="shared" si="19"/>
        <v>11541</v>
      </c>
      <c r="D32" s="120">
        <f t="shared" si="20"/>
        <v>8085</v>
      </c>
      <c r="E32" s="120">
        <f t="shared" si="21"/>
        <v>3456</v>
      </c>
      <c r="F32" s="120">
        <f t="shared" si="22"/>
        <v>450</v>
      </c>
      <c r="G32" s="120">
        <f t="shared" si="23"/>
        <v>0</v>
      </c>
      <c r="H32" s="120"/>
      <c r="I32" s="120"/>
      <c r="J32" s="120">
        <f t="shared" si="24"/>
        <v>450</v>
      </c>
      <c r="K32" s="120">
        <v>450</v>
      </c>
      <c r="L32" s="120"/>
      <c r="M32" s="120">
        <f t="shared" si="6"/>
        <v>0</v>
      </c>
      <c r="N32" s="120">
        <f t="shared" si="7"/>
        <v>0</v>
      </c>
      <c r="O32" s="120">
        <v>0</v>
      </c>
      <c r="P32" s="120"/>
      <c r="Q32" s="120">
        <f t="shared" si="8"/>
        <v>0</v>
      </c>
      <c r="R32" s="120">
        <v>0</v>
      </c>
      <c r="S32" s="120"/>
      <c r="T32" s="120">
        <f t="shared" si="9"/>
        <v>11091</v>
      </c>
      <c r="U32" s="120">
        <f t="shared" si="10"/>
        <v>8085</v>
      </c>
      <c r="V32" s="120">
        <v>8085</v>
      </c>
      <c r="W32" s="120"/>
      <c r="X32" s="120">
        <f t="shared" si="11"/>
        <v>3006</v>
      </c>
      <c r="Y32" s="120">
        <v>3006</v>
      </c>
      <c r="Z32" s="120"/>
      <c r="AA32" s="119">
        <f t="shared" si="25"/>
        <v>3150.501041</v>
      </c>
      <c r="AB32" s="120">
        <f t="shared" si="26"/>
        <v>0</v>
      </c>
      <c r="AC32" s="120">
        <f t="shared" si="27"/>
        <v>3150.501041</v>
      </c>
      <c r="AD32" s="120">
        <f t="shared" si="28"/>
        <v>447.77</v>
      </c>
      <c r="AE32" s="120">
        <f t="shared" si="29"/>
        <v>0</v>
      </c>
      <c r="AF32" s="120"/>
      <c r="AG32" s="120"/>
      <c r="AH32" s="120">
        <f t="shared" si="30"/>
        <v>447.77</v>
      </c>
      <c r="AI32" s="120">
        <v>447.77</v>
      </c>
      <c r="AJ32" s="120"/>
      <c r="AK32" s="120">
        <f t="shared" si="12"/>
        <v>0</v>
      </c>
      <c r="AL32" s="120">
        <f t="shared" si="13"/>
        <v>0</v>
      </c>
      <c r="AM32" s="120"/>
      <c r="AN32" s="120"/>
      <c r="AO32" s="120">
        <f t="shared" si="14"/>
        <v>0</v>
      </c>
      <c r="AP32" s="120"/>
      <c r="AQ32" s="120"/>
      <c r="AR32" s="120">
        <f t="shared" si="15"/>
        <v>2702.731041</v>
      </c>
      <c r="AS32" s="120">
        <f t="shared" si="16"/>
        <v>0</v>
      </c>
      <c r="AT32" s="120"/>
      <c r="AU32" s="120"/>
      <c r="AV32" s="120">
        <f t="shared" si="17"/>
        <v>2702.731041</v>
      </c>
      <c r="AW32" s="120">
        <v>2702.731041</v>
      </c>
      <c r="AX32" s="120"/>
      <c r="AY32" s="304">
        <f t="shared" si="18"/>
        <v>0.27298336721254657</v>
      </c>
      <c r="AZ32" s="304">
        <f t="shared" si="18"/>
        <v>0</v>
      </c>
      <c r="BA32" s="304">
        <f t="shared" si="31"/>
        <v>0.91160331047453702</v>
      </c>
      <c r="BB32" s="304">
        <f t="shared" si="31"/>
        <v>0.9950444444444444</v>
      </c>
      <c r="BC32" s="304"/>
      <c r="BD32" s="304"/>
      <c r="BE32" s="304"/>
      <c r="BF32" s="304">
        <f t="shared" si="34"/>
        <v>0.9950444444444444</v>
      </c>
      <c r="BG32" s="304">
        <f t="shared" si="34"/>
        <v>0.9950444444444444</v>
      </c>
      <c r="BH32" s="304"/>
      <c r="BI32" s="304"/>
      <c r="BJ32" s="304"/>
      <c r="BK32" s="304"/>
      <c r="BL32" s="304"/>
      <c r="BM32" s="304"/>
      <c r="BN32" s="304"/>
      <c r="BO32" s="304"/>
      <c r="BP32" s="304">
        <f t="shared" si="32"/>
        <v>0.24368686691912361</v>
      </c>
      <c r="BQ32" s="304">
        <f t="shared" si="32"/>
        <v>0</v>
      </c>
      <c r="BR32" s="304">
        <f t="shared" si="32"/>
        <v>0</v>
      </c>
      <c r="BS32" s="304"/>
      <c r="BT32" s="304">
        <f t="shared" si="33"/>
        <v>0.89911212275449104</v>
      </c>
      <c r="BU32" s="304">
        <f t="shared" si="33"/>
        <v>0.89911212275449104</v>
      </c>
      <c r="BV32" s="304"/>
    </row>
    <row r="33" spans="1:76" x14ac:dyDescent="0.25">
      <c r="A33" s="58">
        <v>20</v>
      </c>
      <c r="B33" s="59" t="s">
        <v>713</v>
      </c>
      <c r="C33" s="119">
        <f t="shared" si="19"/>
        <v>32</v>
      </c>
      <c r="D33" s="120">
        <f t="shared" si="20"/>
        <v>0</v>
      </c>
      <c r="E33" s="120">
        <f t="shared" si="21"/>
        <v>32</v>
      </c>
      <c r="F33" s="120">
        <f t="shared" si="22"/>
        <v>0</v>
      </c>
      <c r="G33" s="120">
        <f t="shared" si="23"/>
        <v>0</v>
      </c>
      <c r="H33" s="120"/>
      <c r="I33" s="120"/>
      <c r="J33" s="120">
        <f t="shared" si="24"/>
        <v>0</v>
      </c>
      <c r="K33" s="120"/>
      <c r="L33" s="120"/>
      <c r="M33" s="120">
        <f t="shared" si="6"/>
        <v>0</v>
      </c>
      <c r="N33" s="120">
        <f t="shared" si="7"/>
        <v>0</v>
      </c>
      <c r="O33" s="120">
        <v>0</v>
      </c>
      <c r="P33" s="120"/>
      <c r="Q33" s="120">
        <f t="shared" si="8"/>
        <v>0</v>
      </c>
      <c r="R33" s="120">
        <v>0</v>
      </c>
      <c r="S33" s="120"/>
      <c r="T33" s="120">
        <f t="shared" si="9"/>
        <v>32</v>
      </c>
      <c r="U33" s="120">
        <f t="shared" si="10"/>
        <v>0</v>
      </c>
      <c r="V33" s="120">
        <v>0</v>
      </c>
      <c r="W33" s="120"/>
      <c r="X33" s="120">
        <f t="shared" si="11"/>
        <v>32</v>
      </c>
      <c r="Y33" s="120">
        <v>32</v>
      </c>
      <c r="Z33" s="120"/>
      <c r="AA33" s="119">
        <f t="shared" si="25"/>
        <v>24</v>
      </c>
      <c r="AB33" s="120">
        <f t="shared" si="26"/>
        <v>0</v>
      </c>
      <c r="AC33" s="120">
        <f t="shared" si="27"/>
        <v>24</v>
      </c>
      <c r="AD33" s="120">
        <f t="shared" si="28"/>
        <v>0</v>
      </c>
      <c r="AE33" s="120">
        <f t="shared" si="29"/>
        <v>0</v>
      </c>
      <c r="AF33" s="120"/>
      <c r="AG33" s="120"/>
      <c r="AH33" s="120">
        <f t="shared" si="30"/>
        <v>0</v>
      </c>
      <c r="AI33" s="120"/>
      <c r="AJ33" s="120"/>
      <c r="AK33" s="120">
        <f t="shared" si="12"/>
        <v>0</v>
      </c>
      <c r="AL33" s="120">
        <f t="shared" si="13"/>
        <v>0</v>
      </c>
      <c r="AM33" s="120"/>
      <c r="AN33" s="120"/>
      <c r="AO33" s="120">
        <f t="shared" si="14"/>
        <v>0</v>
      </c>
      <c r="AP33" s="120"/>
      <c r="AQ33" s="120"/>
      <c r="AR33" s="120">
        <f t="shared" si="15"/>
        <v>24</v>
      </c>
      <c r="AS33" s="120">
        <f t="shared" si="16"/>
        <v>0</v>
      </c>
      <c r="AT33" s="120"/>
      <c r="AU33" s="120"/>
      <c r="AV33" s="120">
        <f t="shared" si="17"/>
        <v>24</v>
      </c>
      <c r="AW33" s="120">
        <v>24</v>
      </c>
      <c r="AX33" s="120"/>
      <c r="AY33" s="304">
        <f t="shared" si="18"/>
        <v>0.75</v>
      </c>
      <c r="AZ33" s="304"/>
      <c r="BA33" s="304">
        <f t="shared" si="31"/>
        <v>0.75</v>
      </c>
      <c r="BB33" s="304"/>
      <c r="BC33" s="304"/>
      <c r="BD33" s="304"/>
      <c r="BE33" s="304"/>
      <c r="BF33" s="304"/>
      <c r="BG33" s="304"/>
      <c r="BH33" s="304"/>
      <c r="BI33" s="304"/>
      <c r="BJ33" s="304"/>
      <c r="BK33" s="304"/>
      <c r="BL33" s="304"/>
      <c r="BM33" s="304"/>
      <c r="BN33" s="304"/>
      <c r="BO33" s="304"/>
      <c r="BP33" s="304">
        <f t="shared" si="32"/>
        <v>0.75</v>
      </c>
      <c r="BQ33" s="304"/>
      <c r="BR33" s="304"/>
      <c r="BS33" s="304"/>
      <c r="BT33" s="304">
        <f t="shared" si="33"/>
        <v>0.75</v>
      </c>
      <c r="BU33" s="304">
        <f t="shared" si="33"/>
        <v>0.75</v>
      </c>
      <c r="BV33" s="304"/>
    </row>
    <row r="34" spans="1:76" x14ac:dyDescent="0.25">
      <c r="A34" s="58">
        <v>21</v>
      </c>
      <c r="B34" s="59" t="s">
        <v>714</v>
      </c>
      <c r="C34" s="119">
        <f t="shared" si="19"/>
        <v>8</v>
      </c>
      <c r="D34" s="120">
        <f t="shared" si="20"/>
        <v>0</v>
      </c>
      <c r="E34" s="120">
        <f t="shared" si="21"/>
        <v>8</v>
      </c>
      <c r="F34" s="120">
        <f t="shared" si="22"/>
        <v>0</v>
      </c>
      <c r="G34" s="120">
        <f t="shared" si="23"/>
        <v>0</v>
      </c>
      <c r="H34" s="120"/>
      <c r="I34" s="120"/>
      <c r="J34" s="120">
        <f t="shared" si="24"/>
        <v>0</v>
      </c>
      <c r="K34" s="120"/>
      <c r="L34" s="120"/>
      <c r="M34" s="120">
        <f t="shared" si="6"/>
        <v>0</v>
      </c>
      <c r="N34" s="120">
        <f t="shared" si="7"/>
        <v>0</v>
      </c>
      <c r="O34" s="120">
        <v>0</v>
      </c>
      <c r="P34" s="120"/>
      <c r="Q34" s="120">
        <f t="shared" si="8"/>
        <v>0</v>
      </c>
      <c r="R34" s="120">
        <v>0</v>
      </c>
      <c r="S34" s="120"/>
      <c r="T34" s="120">
        <f t="shared" si="9"/>
        <v>8</v>
      </c>
      <c r="U34" s="120">
        <f t="shared" si="10"/>
        <v>0</v>
      </c>
      <c r="V34" s="120">
        <v>0</v>
      </c>
      <c r="W34" s="120"/>
      <c r="X34" s="120">
        <f t="shared" si="11"/>
        <v>8</v>
      </c>
      <c r="Y34" s="120">
        <v>8</v>
      </c>
      <c r="Z34" s="120"/>
      <c r="AA34" s="119">
        <f t="shared" si="25"/>
        <v>0</v>
      </c>
      <c r="AB34" s="120">
        <f t="shared" si="26"/>
        <v>0</v>
      </c>
      <c r="AC34" s="120">
        <f t="shared" si="27"/>
        <v>0</v>
      </c>
      <c r="AD34" s="120">
        <f t="shared" si="28"/>
        <v>0</v>
      </c>
      <c r="AE34" s="120">
        <f t="shared" si="29"/>
        <v>0</v>
      </c>
      <c r="AF34" s="120"/>
      <c r="AG34" s="120"/>
      <c r="AH34" s="120">
        <f t="shared" si="30"/>
        <v>0</v>
      </c>
      <c r="AI34" s="120"/>
      <c r="AJ34" s="120"/>
      <c r="AK34" s="120">
        <f t="shared" si="12"/>
        <v>0</v>
      </c>
      <c r="AL34" s="120">
        <f t="shared" si="13"/>
        <v>0</v>
      </c>
      <c r="AM34" s="120"/>
      <c r="AN34" s="120"/>
      <c r="AO34" s="120">
        <f t="shared" si="14"/>
        <v>0</v>
      </c>
      <c r="AP34" s="120"/>
      <c r="AQ34" s="120"/>
      <c r="AR34" s="120">
        <f t="shared" si="15"/>
        <v>0</v>
      </c>
      <c r="AS34" s="120">
        <f t="shared" si="16"/>
        <v>0</v>
      </c>
      <c r="AT34" s="120"/>
      <c r="AU34" s="120"/>
      <c r="AV34" s="120">
        <f t="shared" si="17"/>
        <v>0</v>
      </c>
      <c r="AW34" s="120">
        <v>0</v>
      </c>
      <c r="AX34" s="120"/>
      <c r="AY34" s="304">
        <f t="shared" si="18"/>
        <v>0</v>
      </c>
      <c r="AZ34" s="304"/>
      <c r="BA34" s="304">
        <f t="shared" si="31"/>
        <v>0</v>
      </c>
      <c r="BB34" s="304"/>
      <c r="BC34" s="304"/>
      <c r="BD34" s="304"/>
      <c r="BE34" s="304"/>
      <c r="BF34" s="304"/>
      <c r="BG34" s="304"/>
      <c r="BH34" s="304"/>
      <c r="BI34" s="304"/>
      <c r="BJ34" s="304"/>
      <c r="BK34" s="304"/>
      <c r="BL34" s="304"/>
      <c r="BM34" s="304"/>
      <c r="BN34" s="304"/>
      <c r="BO34" s="304"/>
      <c r="BP34" s="304">
        <f t="shared" si="32"/>
        <v>0</v>
      </c>
      <c r="BQ34" s="304"/>
      <c r="BR34" s="304"/>
      <c r="BS34" s="304"/>
      <c r="BT34" s="304">
        <f t="shared" si="33"/>
        <v>0</v>
      </c>
      <c r="BU34" s="304">
        <f t="shared" si="33"/>
        <v>0</v>
      </c>
      <c r="BV34" s="304"/>
    </row>
    <row r="35" spans="1:76" ht="25.5" x14ac:dyDescent="0.25">
      <c r="A35" s="58">
        <v>22</v>
      </c>
      <c r="B35" s="59" t="s">
        <v>715</v>
      </c>
      <c r="C35" s="119">
        <f t="shared" si="19"/>
        <v>8</v>
      </c>
      <c r="D35" s="120">
        <f t="shared" si="20"/>
        <v>0</v>
      </c>
      <c r="E35" s="120">
        <f t="shared" si="21"/>
        <v>8</v>
      </c>
      <c r="F35" s="120">
        <f t="shared" si="22"/>
        <v>0</v>
      </c>
      <c r="G35" s="120">
        <f t="shared" si="23"/>
        <v>0</v>
      </c>
      <c r="H35" s="120"/>
      <c r="I35" s="120"/>
      <c r="J35" s="120">
        <f t="shared" si="24"/>
        <v>0</v>
      </c>
      <c r="K35" s="120"/>
      <c r="L35" s="120"/>
      <c r="M35" s="120">
        <f t="shared" si="6"/>
        <v>0</v>
      </c>
      <c r="N35" s="120">
        <f t="shared" si="7"/>
        <v>0</v>
      </c>
      <c r="O35" s="120">
        <v>0</v>
      </c>
      <c r="P35" s="120"/>
      <c r="Q35" s="120">
        <f t="shared" si="8"/>
        <v>0</v>
      </c>
      <c r="R35" s="120">
        <v>0</v>
      </c>
      <c r="S35" s="120"/>
      <c r="T35" s="120">
        <f t="shared" si="9"/>
        <v>8</v>
      </c>
      <c r="U35" s="120">
        <f t="shared" si="10"/>
        <v>0</v>
      </c>
      <c r="V35" s="120">
        <v>0</v>
      </c>
      <c r="W35" s="120"/>
      <c r="X35" s="120">
        <f t="shared" si="11"/>
        <v>8</v>
      </c>
      <c r="Y35" s="120">
        <v>8</v>
      </c>
      <c r="Z35" s="120"/>
      <c r="AA35" s="119">
        <f t="shared" si="25"/>
        <v>0</v>
      </c>
      <c r="AB35" s="120">
        <f t="shared" si="26"/>
        <v>0</v>
      </c>
      <c r="AC35" s="120">
        <f t="shared" si="27"/>
        <v>0</v>
      </c>
      <c r="AD35" s="120">
        <f t="shared" si="28"/>
        <v>0</v>
      </c>
      <c r="AE35" s="120">
        <f t="shared" si="29"/>
        <v>0</v>
      </c>
      <c r="AF35" s="120"/>
      <c r="AG35" s="120"/>
      <c r="AH35" s="120">
        <f t="shared" si="30"/>
        <v>0</v>
      </c>
      <c r="AI35" s="120"/>
      <c r="AJ35" s="120"/>
      <c r="AK35" s="120">
        <f t="shared" si="12"/>
        <v>0</v>
      </c>
      <c r="AL35" s="120">
        <f t="shared" si="13"/>
        <v>0</v>
      </c>
      <c r="AM35" s="120"/>
      <c r="AN35" s="120"/>
      <c r="AO35" s="120">
        <f t="shared" si="14"/>
        <v>0</v>
      </c>
      <c r="AP35" s="120"/>
      <c r="AQ35" s="120"/>
      <c r="AR35" s="120">
        <f t="shared" si="15"/>
        <v>0</v>
      </c>
      <c r="AS35" s="120">
        <f t="shared" si="16"/>
        <v>0</v>
      </c>
      <c r="AT35" s="120"/>
      <c r="AU35" s="120"/>
      <c r="AV35" s="120">
        <f t="shared" si="17"/>
        <v>0</v>
      </c>
      <c r="AW35" s="120"/>
      <c r="AX35" s="120"/>
      <c r="AY35" s="304">
        <f t="shared" si="18"/>
        <v>0</v>
      </c>
      <c r="AZ35" s="304"/>
      <c r="BA35" s="304">
        <f t="shared" si="31"/>
        <v>0</v>
      </c>
      <c r="BB35" s="304"/>
      <c r="BC35" s="304"/>
      <c r="BD35" s="304"/>
      <c r="BE35" s="304"/>
      <c r="BF35" s="304"/>
      <c r="BG35" s="304"/>
      <c r="BH35" s="304"/>
      <c r="BI35" s="304"/>
      <c r="BJ35" s="304"/>
      <c r="BK35" s="304"/>
      <c r="BL35" s="304"/>
      <c r="BM35" s="304"/>
      <c r="BN35" s="304"/>
      <c r="BO35" s="304"/>
      <c r="BP35" s="304">
        <f t="shared" si="32"/>
        <v>0</v>
      </c>
      <c r="BQ35" s="304"/>
      <c r="BR35" s="304"/>
      <c r="BS35" s="304"/>
      <c r="BT35" s="304">
        <f t="shared" si="33"/>
        <v>0</v>
      </c>
      <c r="BU35" s="304">
        <f t="shared" si="33"/>
        <v>0</v>
      </c>
      <c r="BV35" s="304"/>
    </row>
    <row r="36" spans="1:76" ht="25.5" x14ac:dyDescent="0.25">
      <c r="A36" s="58">
        <v>23</v>
      </c>
      <c r="B36" s="59" t="s">
        <v>716</v>
      </c>
      <c r="C36" s="119">
        <f t="shared" si="19"/>
        <v>4741</v>
      </c>
      <c r="D36" s="120">
        <f t="shared" si="20"/>
        <v>0</v>
      </c>
      <c r="E36" s="120">
        <f t="shared" si="21"/>
        <v>4741</v>
      </c>
      <c r="F36" s="120">
        <f t="shared" si="22"/>
        <v>0</v>
      </c>
      <c r="G36" s="120">
        <f t="shared" si="23"/>
        <v>0</v>
      </c>
      <c r="H36" s="120"/>
      <c r="I36" s="120"/>
      <c r="J36" s="120">
        <f t="shared" si="24"/>
        <v>0</v>
      </c>
      <c r="K36" s="120"/>
      <c r="L36" s="120"/>
      <c r="M36" s="120">
        <f t="shared" si="6"/>
        <v>0</v>
      </c>
      <c r="N36" s="120">
        <f t="shared" si="7"/>
        <v>0</v>
      </c>
      <c r="O36" s="120">
        <v>0</v>
      </c>
      <c r="P36" s="120"/>
      <c r="Q36" s="120">
        <f t="shared" si="8"/>
        <v>0</v>
      </c>
      <c r="R36" s="120">
        <v>0</v>
      </c>
      <c r="S36" s="120"/>
      <c r="T36" s="120">
        <f t="shared" si="9"/>
        <v>4741</v>
      </c>
      <c r="U36" s="120">
        <f t="shared" si="10"/>
        <v>0</v>
      </c>
      <c r="V36" s="120">
        <v>0</v>
      </c>
      <c r="W36" s="120"/>
      <c r="X36" s="120">
        <f t="shared" si="11"/>
        <v>4741</v>
      </c>
      <c r="Y36" s="120">
        <v>4741</v>
      </c>
      <c r="Z36" s="120"/>
      <c r="AA36" s="119">
        <f t="shared" si="25"/>
        <v>2484.4056</v>
      </c>
      <c r="AB36" s="120">
        <f t="shared" si="26"/>
        <v>0</v>
      </c>
      <c r="AC36" s="120">
        <f t="shared" si="27"/>
        <v>2484.4056</v>
      </c>
      <c r="AD36" s="120">
        <f t="shared" si="28"/>
        <v>0</v>
      </c>
      <c r="AE36" s="120">
        <f t="shared" si="29"/>
        <v>0</v>
      </c>
      <c r="AF36" s="120"/>
      <c r="AG36" s="120"/>
      <c r="AH36" s="120">
        <f t="shared" si="30"/>
        <v>0</v>
      </c>
      <c r="AI36" s="120"/>
      <c r="AJ36" s="120"/>
      <c r="AK36" s="120">
        <f t="shared" si="12"/>
        <v>0</v>
      </c>
      <c r="AL36" s="120">
        <f t="shared" si="13"/>
        <v>0</v>
      </c>
      <c r="AM36" s="120"/>
      <c r="AN36" s="120"/>
      <c r="AO36" s="120">
        <f t="shared" si="14"/>
        <v>0</v>
      </c>
      <c r="AP36" s="120"/>
      <c r="AQ36" s="120"/>
      <c r="AR36" s="120">
        <f t="shared" si="15"/>
        <v>2484.4056</v>
      </c>
      <c r="AS36" s="120">
        <f t="shared" si="16"/>
        <v>0</v>
      </c>
      <c r="AT36" s="120"/>
      <c r="AU36" s="120"/>
      <c r="AV36" s="120">
        <f t="shared" si="17"/>
        <v>2484.4056</v>
      </c>
      <c r="AW36" s="120">
        <v>2484.4056</v>
      </c>
      <c r="AX36" s="120"/>
      <c r="AY36" s="304">
        <f t="shared" si="18"/>
        <v>0.52402564859734235</v>
      </c>
      <c r="AZ36" s="304"/>
      <c r="BA36" s="304">
        <f t="shared" si="31"/>
        <v>0.52402564859734235</v>
      </c>
      <c r="BB36" s="304"/>
      <c r="BC36" s="304"/>
      <c r="BD36" s="304"/>
      <c r="BE36" s="304"/>
      <c r="BF36" s="304"/>
      <c r="BG36" s="304"/>
      <c r="BH36" s="304"/>
      <c r="BI36" s="304"/>
      <c r="BJ36" s="304"/>
      <c r="BK36" s="304"/>
      <c r="BL36" s="304"/>
      <c r="BM36" s="304"/>
      <c r="BN36" s="304"/>
      <c r="BO36" s="304"/>
      <c r="BP36" s="304">
        <f t="shared" si="32"/>
        <v>0.52402564859734235</v>
      </c>
      <c r="BQ36" s="304"/>
      <c r="BR36" s="304"/>
      <c r="BS36" s="304"/>
      <c r="BT36" s="304">
        <f t="shared" si="33"/>
        <v>0.52402564859734235</v>
      </c>
      <c r="BU36" s="304">
        <f t="shared" si="33"/>
        <v>0.52402564859734235</v>
      </c>
      <c r="BV36" s="304"/>
    </row>
    <row r="37" spans="1:76" ht="25.5" x14ac:dyDescent="0.25">
      <c r="A37" s="58">
        <v>24</v>
      </c>
      <c r="B37" s="59" t="s">
        <v>717</v>
      </c>
      <c r="C37" s="119">
        <f t="shared" si="19"/>
        <v>690</v>
      </c>
      <c r="D37" s="120">
        <f t="shared" si="20"/>
        <v>0</v>
      </c>
      <c r="E37" s="120">
        <f t="shared" si="21"/>
        <v>690</v>
      </c>
      <c r="F37" s="120">
        <f t="shared" si="22"/>
        <v>0</v>
      </c>
      <c r="G37" s="120">
        <f t="shared" si="23"/>
        <v>0</v>
      </c>
      <c r="H37" s="120"/>
      <c r="I37" s="120"/>
      <c r="J37" s="120">
        <f t="shared" si="24"/>
        <v>0</v>
      </c>
      <c r="K37" s="120"/>
      <c r="L37" s="120"/>
      <c r="M37" s="120">
        <f t="shared" si="6"/>
        <v>0</v>
      </c>
      <c r="N37" s="120">
        <f t="shared" si="7"/>
        <v>0</v>
      </c>
      <c r="O37" s="120">
        <v>0</v>
      </c>
      <c r="P37" s="120"/>
      <c r="Q37" s="120">
        <f t="shared" si="8"/>
        <v>0</v>
      </c>
      <c r="R37" s="120">
        <v>0</v>
      </c>
      <c r="S37" s="120"/>
      <c r="T37" s="120">
        <f t="shared" si="9"/>
        <v>690</v>
      </c>
      <c r="U37" s="120">
        <f t="shared" si="10"/>
        <v>0</v>
      </c>
      <c r="V37" s="120">
        <v>0</v>
      </c>
      <c r="W37" s="120"/>
      <c r="X37" s="120">
        <f t="shared" si="11"/>
        <v>690</v>
      </c>
      <c r="Y37" s="120">
        <v>690</v>
      </c>
      <c r="Z37" s="120"/>
      <c r="AA37" s="119">
        <f t="shared" si="25"/>
        <v>407.01049999999998</v>
      </c>
      <c r="AB37" s="120">
        <f t="shared" si="26"/>
        <v>0</v>
      </c>
      <c r="AC37" s="120">
        <f t="shared" si="27"/>
        <v>407.01049999999998</v>
      </c>
      <c r="AD37" s="120">
        <f t="shared" si="28"/>
        <v>0</v>
      </c>
      <c r="AE37" s="120">
        <f t="shared" si="29"/>
        <v>0</v>
      </c>
      <c r="AF37" s="120"/>
      <c r="AG37" s="120"/>
      <c r="AH37" s="120">
        <f t="shared" si="30"/>
        <v>0</v>
      </c>
      <c r="AI37" s="120"/>
      <c r="AJ37" s="120"/>
      <c r="AK37" s="120">
        <f t="shared" si="12"/>
        <v>0</v>
      </c>
      <c r="AL37" s="120">
        <f t="shared" si="13"/>
        <v>0</v>
      </c>
      <c r="AM37" s="120"/>
      <c r="AN37" s="120"/>
      <c r="AO37" s="120">
        <f t="shared" si="14"/>
        <v>0</v>
      </c>
      <c r="AP37" s="120"/>
      <c r="AQ37" s="120"/>
      <c r="AR37" s="120">
        <f t="shared" si="15"/>
        <v>407.01049999999998</v>
      </c>
      <c r="AS37" s="120">
        <f t="shared" si="16"/>
        <v>0</v>
      </c>
      <c r="AT37" s="120"/>
      <c r="AU37" s="120"/>
      <c r="AV37" s="120">
        <f t="shared" si="17"/>
        <v>407.01049999999998</v>
      </c>
      <c r="AW37" s="120">
        <v>407.01049999999998</v>
      </c>
      <c r="AX37" s="120"/>
      <c r="AY37" s="304">
        <f t="shared" si="18"/>
        <v>0.58987028985507239</v>
      </c>
      <c r="AZ37" s="304"/>
      <c r="BA37" s="304">
        <f t="shared" si="31"/>
        <v>0.58987028985507239</v>
      </c>
      <c r="BB37" s="304"/>
      <c r="BC37" s="304"/>
      <c r="BD37" s="304"/>
      <c r="BE37" s="304"/>
      <c r="BF37" s="304"/>
      <c r="BG37" s="304"/>
      <c r="BH37" s="304"/>
      <c r="BI37" s="304"/>
      <c r="BJ37" s="304"/>
      <c r="BK37" s="304"/>
      <c r="BL37" s="304"/>
      <c r="BM37" s="304"/>
      <c r="BN37" s="304"/>
      <c r="BO37" s="304"/>
      <c r="BP37" s="304">
        <f t="shared" si="32"/>
        <v>0.58987028985507239</v>
      </c>
      <c r="BQ37" s="304"/>
      <c r="BR37" s="304"/>
      <c r="BS37" s="304"/>
      <c r="BT37" s="304">
        <f t="shared" si="33"/>
        <v>0.58987028985507239</v>
      </c>
      <c r="BU37" s="304">
        <f t="shared" si="33"/>
        <v>0.58987028985507239</v>
      </c>
      <c r="BV37" s="304"/>
    </row>
    <row r="38" spans="1:76" x14ac:dyDescent="0.25">
      <c r="A38" s="58">
        <v>25</v>
      </c>
      <c r="B38" s="59" t="s">
        <v>718</v>
      </c>
      <c r="C38" s="119">
        <f t="shared" si="19"/>
        <v>8</v>
      </c>
      <c r="D38" s="120">
        <f t="shared" si="20"/>
        <v>0</v>
      </c>
      <c r="E38" s="120">
        <f t="shared" si="21"/>
        <v>8</v>
      </c>
      <c r="F38" s="120">
        <f t="shared" si="22"/>
        <v>0</v>
      </c>
      <c r="G38" s="120">
        <f t="shared" si="23"/>
        <v>0</v>
      </c>
      <c r="H38" s="120"/>
      <c r="I38" s="120"/>
      <c r="J38" s="120">
        <f t="shared" si="24"/>
        <v>0</v>
      </c>
      <c r="K38" s="120"/>
      <c r="L38" s="120"/>
      <c r="M38" s="120">
        <f t="shared" si="6"/>
        <v>0</v>
      </c>
      <c r="N38" s="120">
        <f t="shared" si="7"/>
        <v>0</v>
      </c>
      <c r="O38" s="120">
        <v>0</v>
      </c>
      <c r="P38" s="120"/>
      <c r="Q38" s="120">
        <f t="shared" si="8"/>
        <v>0</v>
      </c>
      <c r="R38" s="120">
        <v>0</v>
      </c>
      <c r="S38" s="120"/>
      <c r="T38" s="120">
        <f t="shared" si="9"/>
        <v>8</v>
      </c>
      <c r="U38" s="120">
        <f t="shared" si="10"/>
        <v>0</v>
      </c>
      <c r="V38" s="120">
        <v>0</v>
      </c>
      <c r="W38" s="120"/>
      <c r="X38" s="120">
        <f t="shared" si="11"/>
        <v>8</v>
      </c>
      <c r="Y38" s="120">
        <v>8</v>
      </c>
      <c r="Z38" s="120"/>
      <c r="AA38" s="119">
        <f t="shared" si="25"/>
        <v>8</v>
      </c>
      <c r="AB38" s="120">
        <f t="shared" si="26"/>
        <v>0</v>
      </c>
      <c r="AC38" s="120">
        <f t="shared" si="27"/>
        <v>8</v>
      </c>
      <c r="AD38" s="120">
        <f t="shared" si="28"/>
        <v>0</v>
      </c>
      <c r="AE38" s="120">
        <f t="shared" si="29"/>
        <v>0</v>
      </c>
      <c r="AF38" s="120"/>
      <c r="AG38" s="120"/>
      <c r="AH38" s="120">
        <f t="shared" si="30"/>
        <v>0</v>
      </c>
      <c r="AI38" s="120"/>
      <c r="AJ38" s="120"/>
      <c r="AK38" s="120">
        <f t="shared" si="12"/>
        <v>0</v>
      </c>
      <c r="AL38" s="120">
        <f t="shared" si="13"/>
        <v>0</v>
      </c>
      <c r="AM38" s="120"/>
      <c r="AN38" s="120"/>
      <c r="AO38" s="120">
        <f t="shared" si="14"/>
        <v>0</v>
      </c>
      <c r="AP38" s="120"/>
      <c r="AQ38" s="120"/>
      <c r="AR38" s="120">
        <f t="shared" si="15"/>
        <v>8</v>
      </c>
      <c r="AS38" s="120">
        <f t="shared" si="16"/>
        <v>0</v>
      </c>
      <c r="AT38" s="120"/>
      <c r="AU38" s="120"/>
      <c r="AV38" s="120">
        <f t="shared" si="17"/>
        <v>8</v>
      </c>
      <c r="AW38" s="120">
        <v>8</v>
      </c>
      <c r="AX38" s="120"/>
      <c r="AY38" s="304">
        <f t="shared" si="18"/>
        <v>1</v>
      </c>
      <c r="AZ38" s="304"/>
      <c r="BA38" s="304">
        <f t="shared" si="31"/>
        <v>1</v>
      </c>
      <c r="BB38" s="304"/>
      <c r="BC38" s="304"/>
      <c r="BD38" s="304"/>
      <c r="BE38" s="304"/>
      <c r="BF38" s="304"/>
      <c r="BG38" s="304"/>
      <c r="BH38" s="304"/>
      <c r="BI38" s="304"/>
      <c r="BJ38" s="304"/>
      <c r="BK38" s="304"/>
      <c r="BL38" s="304"/>
      <c r="BM38" s="304"/>
      <c r="BN38" s="304"/>
      <c r="BO38" s="304"/>
      <c r="BP38" s="304">
        <f t="shared" si="32"/>
        <v>1</v>
      </c>
      <c r="BQ38" s="304"/>
      <c r="BR38" s="304"/>
      <c r="BS38" s="304"/>
      <c r="BT38" s="304">
        <f t="shared" si="33"/>
        <v>1</v>
      </c>
      <c r="BU38" s="304">
        <f t="shared" si="33"/>
        <v>1</v>
      </c>
      <c r="BV38" s="304"/>
    </row>
    <row r="39" spans="1:76" x14ac:dyDescent="0.25">
      <c r="A39" s="58">
        <v>26</v>
      </c>
      <c r="B39" s="59" t="s">
        <v>719</v>
      </c>
      <c r="C39" s="119">
        <f t="shared" si="19"/>
        <v>300</v>
      </c>
      <c r="D39" s="120">
        <f t="shared" si="20"/>
        <v>0</v>
      </c>
      <c r="E39" s="120">
        <f t="shared" si="21"/>
        <v>300</v>
      </c>
      <c r="F39" s="120">
        <f t="shared" si="22"/>
        <v>0</v>
      </c>
      <c r="G39" s="120">
        <f t="shared" si="23"/>
        <v>0</v>
      </c>
      <c r="H39" s="120"/>
      <c r="I39" s="120"/>
      <c r="J39" s="120">
        <f t="shared" si="24"/>
        <v>0</v>
      </c>
      <c r="K39" s="120"/>
      <c r="L39" s="120"/>
      <c r="M39" s="120">
        <f t="shared" si="6"/>
        <v>0</v>
      </c>
      <c r="N39" s="120">
        <f t="shared" si="7"/>
        <v>0</v>
      </c>
      <c r="O39" s="120">
        <v>0</v>
      </c>
      <c r="P39" s="120"/>
      <c r="Q39" s="120">
        <f t="shared" si="8"/>
        <v>0</v>
      </c>
      <c r="R39" s="120">
        <v>0</v>
      </c>
      <c r="S39" s="120"/>
      <c r="T39" s="120">
        <f t="shared" si="9"/>
        <v>300</v>
      </c>
      <c r="U39" s="120">
        <f t="shared" si="10"/>
        <v>0</v>
      </c>
      <c r="V39" s="120">
        <v>0</v>
      </c>
      <c r="W39" s="120"/>
      <c r="X39" s="120">
        <f t="shared" si="11"/>
        <v>300</v>
      </c>
      <c r="Y39" s="120">
        <v>300</v>
      </c>
      <c r="Z39" s="120"/>
      <c r="AA39" s="119">
        <f t="shared" si="25"/>
        <v>0</v>
      </c>
      <c r="AB39" s="120">
        <f t="shared" si="26"/>
        <v>0</v>
      </c>
      <c r="AC39" s="120">
        <f t="shared" si="27"/>
        <v>0</v>
      </c>
      <c r="AD39" s="120">
        <f t="shared" si="28"/>
        <v>0</v>
      </c>
      <c r="AE39" s="120">
        <f t="shared" si="29"/>
        <v>0</v>
      </c>
      <c r="AF39" s="120"/>
      <c r="AG39" s="120"/>
      <c r="AH39" s="120">
        <f t="shared" si="30"/>
        <v>0</v>
      </c>
      <c r="AI39" s="120"/>
      <c r="AJ39" s="120"/>
      <c r="AK39" s="120">
        <f t="shared" si="12"/>
        <v>0</v>
      </c>
      <c r="AL39" s="120">
        <f t="shared" si="13"/>
        <v>0</v>
      </c>
      <c r="AM39" s="120"/>
      <c r="AN39" s="120"/>
      <c r="AO39" s="120">
        <f t="shared" si="14"/>
        <v>0</v>
      </c>
      <c r="AP39" s="120"/>
      <c r="AQ39" s="120"/>
      <c r="AR39" s="120">
        <f t="shared" si="15"/>
        <v>0</v>
      </c>
      <c r="AS39" s="120">
        <f t="shared" si="16"/>
        <v>0</v>
      </c>
      <c r="AT39" s="120"/>
      <c r="AU39" s="120"/>
      <c r="AV39" s="120">
        <f t="shared" si="17"/>
        <v>0</v>
      </c>
      <c r="AW39" s="120"/>
      <c r="AX39" s="120"/>
      <c r="AY39" s="304">
        <f t="shared" si="18"/>
        <v>0</v>
      </c>
      <c r="AZ39" s="304"/>
      <c r="BA39" s="304">
        <f t="shared" si="31"/>
        <v>0</v>
      </c>
      <c r="BB39" s="304"/>
      <c r="BC39" s="304"/>
      <c r="BD39" s="304"/>
      <c r="BE39" s="304"/>
      <c r="BF39" s="304"/>
      <c r="BG39" s="304"/>
      <c r="BH39" s="304"/>
      <c r="BI39" s="304"/>
      <c r="BJ39" s="304"/>
      <c r="BK39" s="304"/>
      <c r="BL39" s="304"/>
      <c r="BM39" s="304"/>
      <c r="BN39" s="304"/>
      <c r="BO39" s="304"/>
      <c r="BP39" s="304">
        <f t="shared" si="32"/>
        <v>0</v>
      </c>
      <c r="BQ39" s="304"/>
      <c r="BR39" s="304"/>
      <c r="BS39" s="304"/>
      <c r="BT39" s="304">
        <f t="shared" si="33"/>
        <v>0</v>
      </c>
      <c r="BU39" s="304">
        <f t="shared" si="33"/>
        <v>0</v>
      </c>
      <c r="BV39" s="304"/>
    </row>
    <row r="40" spans="1:76" x14ac:dyDescent="0.25">
      <c r="A40" s="58">
        <v>27</v>
      </c>
      <c r="B40" s="59" t="s">
        <v>610</v>
      </c>
      <c r="C40" s="119">
        <f t="shared" si="19"/>
        <v>450</v>
      </c>
      <c r="D40" s="120">
        <f t="shared" si="20"/>
        <v>0</v>
      </c>
      <c r="E40" s="120">
        <f t="shared" si="21"/>
        <v>450</v>
      </c>
      <c r="F40" s="120">
        <f t="shared" si="22"/>
        <v>150</v>
      </c>
      <c r="G40" s="120">
        <f t="shared" si="23"/>
        <v>0</v>
      </c>
      <c r="H40" s="120"/>
      <c r="I40" s="120"/>
      <c r="J40" s="120">
        <f t="shared" si="24"/>
        <v>150</v>
      </c>
      <c r="K40" s="120">
        <v>150</v>
      </c>
      <c r="L40" s="120"/>
      <c r="M40" s="120">
        <f t="shared" si="6"/>
        <v>0</v>
      </c>
      <c r="N40" s="120">
        <f t="shared" si="7"/>
        <v>0</v>
      </c>
      <c r="O40" s="120">
        <v>0</v>
      </c>
      <c r="P40" s="120"/>
      <c r="Q40" s="120">
        <f t="shared" si="8"/>
        <v>0</v>
      </c>
      <c r="R40" s="120">
        <v>0</v>
      </c>
      <c r="S40" s="120"/>
      <c r="T40" s="120">
        <f t="shared" si="9"/>
        <v>300</v>
      </c>
      <c r="U40" s="120">
        <f t="shared" si="10"/>
        <v>0</v>
      </c>
      <c r="V40" s="120">
        <v>0</v>
      </c>
      <c r="W40" s="120"/>
      <c r="X40" s="120">
        <f t="shared" si="11"/>
        <v>300</v>
      </c>
      <c r="Y40" s="120">
        <v>300</v>
      </c>
      <c r="Z40" s="120"/>
      <c r="AA40" s="119">
        <f t="shared" si="25"/>
        <v>450</v>
      </c>
      <c r="AB40" s="120">
        <f t="shared" si="26"/>
        <v>0</v>
      </c>
      <c r="AC40" s="120">
        <f t="shared" si="27"/>
        <v>450</v>
      </c>
      <c r="AD40" s="120">
        <f t="shared" si="28"/>
        <v>150</v>
      </c>
      <c r="AE40" s="120">
        <f t="shared" si="29"/>
        <v>0</v>
      </c>
      <c r="AF40" s="120"/>
      <c r="AG40" s="120"/>
      <c r="AH40" s="120">
        <f t="shared" si="30"/>
        <v>150</v>
      </c>
      <c r="AI40" s="120">
        <v>150</v>
      </c>
      <c r="AJ40" s="120"/>
      <c r="AK40" s="120">
        <f t="shared" si="12"/>
        <v>0</v>
      </c>
      <c r="AL40" s="120">
        <f t="shared" si="13"/>
        <v>0</v>
      </c>
      <c r="AM40" s="120"/>
      <c r="AN40" s="120"/>
      <c r="AO40" s="120">
        <f t="shared" si="14"/>
        <v>0</v>
      </c>
      <c r="AP40" s="120"/>
      <c r="AQ40" s="120"/>
      <c r="AR40" s="120">
        <f t="shared" si="15"/>
        <v>300</v>
      </c>
      <c r="AS40" s="120">
        <f t="shared" si="16"/>
        <v>0</v>
      </c>
      <c r="AT40" s="120"/>
      <c r="AU40" s="120"/>
      <c r="AV40" s="120">
        <f t="shared" si="17"/>
        <v>300</v>
      </c>
      <c r="AW40" s="120">
        <v>300</v>
      </c>
      <c r="AX40" s="120"/>
      <c r="AY40" s="304">
        <f t="shared" ref="AY40" si="37">AA40/C40</f>
        <v>1</v>
      </c>
      <c r="AZ40" s="304"/>
      <c r="BA40" s="304">
        <f t="shared" si="31"/>
        <v>1</v>
      </c>
      <c r="BB40" s="304">
        <f t="shared" si="31"/>
        <v>1</v>
      </c>
      <c r="BC40" s="304"/>
      <c r="BD40" s="304"/>
      <c r="BE40" s="304"/>
      <c r="BF40" s="304">
        <f t="shared" si="34"/>
        <v>1</v>
      </c>
      <c r="BG40" s="304">
        <f t="shared" si="34"/>
        <v>1</v>
      </c>
      <c r="BH40" s="304"/>
      <c r="BI40" s="304"/>
      <c r="BJ40" s="304"/>
      <c r="BK40" s="304"/>
      <c r="BL40" s="304"/>
      <c r="BM40" s="304"/>
      <c r="BN40" s="304"/>
      <c r="BO40" s="304"/>
      <c r="BP40" s="304">
        <f t="shared" si="32"/>
        <v>1</v>
      </c>
      <c r="BQ40" s="304"/>
      <c r="BR40" s="304"/>
      <c r="BS40" s="304"/>
      <c r="BT40" s="304">
        <f t="shared" si="33"/>
        <v>1</v>
      </c>
      <c r="BU40" s="304">
        <f t="shared" si="33"/>
        <v>1</v>
      </c>
      <c r="BV40" s="304"/>
    </row>
    <row r="41" spans="1:76" x14ac:dyDescent="0.25">
      <c r="A41" s="58">
        <v>28</v>
      </c>
      <c r="B41" s="59" t="s">
        <v>422</v>
      </c>
      <c r="C41" s="119">
        <f t="shared" si="19"/>
        <v>0</v>
      </c>
      <c r="D41" s="120">
        <f t="shared" si="20"/>
        <v>0</v>
      </c>
      <c r="E41" s="120">
        <f t="shared" si="21"/>
        <v>0</v>
      </c>
      <c r="F41" s="120">
        <f t="shared" si="22"/>
        <v>0</v>
      </c>
      <c r="G41" s="120"/>
      <c r="H41" s="120"/>
      <c r="I41" s="120"/>
      <c r="J41" s="120">
        <f t="shared" si="24"/>
        <v>0</v>
      </c>
      <c r="K41" s="120"/>
      <c r="L41" s="120"/>
      <c r="M41" s="120">
        <f t="shared" si="6"/>
        <v>0</v>
      </c>
      <c r="N41" s="120">
        <f t="shared" si="7"/>
        <v>0</v>
      </c>
      <c r="O41" s="120">
        <v>0</v>
      </c>
      <c r="P41" s="120"/>
      <c r="Q41" s="120">
        <f t="shared" si="8"/>
        <v>0</v>
      </c>
      <c r="R41" s="120">
        <v>0</v>
      </c>
      <c r="S41" s="120"/>
      <c r="T41" s="120"/>
      <c r="U41" s="120"/>
      <c r="V41" s="120"/>
      <c r="W41" s="120"/>
      <c r="X41" s="120"/>
      <c r="Y41" s="120"/>
      <c r="Z41" s="120"/>
      <c r="AA41" s="119">
        <f t="shared" si="25"/>
        <v>50</v>
      </c>
      <c r="AB41" s="120">
        <f t="shared" si="26"/>
        <v>50</v>
      </c>
      <c r="AC41" s="120">
        <f t="shared" si="27"/>
        <v>0</v>
      </c>
      <c r="AD41" s="120"/>
      <c r="AE41" s="120"/>
      <c r="AF41" s="120"/>
      <c r="AG41" s="120"/>
      <c r="AH41" s="120"/>
      <c r="AI41" s="120"/>
      <c r="AJ41" s="120"/>
      <c r="AK41" s="120">
        <f t="shared" si="12"/>
        <v>50</v>
      </c>
      <c r="AL41" s="120">
        <f t="shared" si="13"/>
        <v>50</v>
      </c>
      <c r="AM41" s="120">
        <v>50</v>
      </c>
      <c r="AN41" s="120"/>
      <c r="AO41" s="120">
        <f t="shared" si="14"/>
        <v>0</v>
      </c>
      <c r="AP41" s="120"/>
      <c r="AQ41" s="120"/>
      <c r="AR41" s="120"/>
      <c r="AS41" s="120"/>
      <c r="AT41" s="120"/>
      <c r="AU41" s="120"/>
      <c r="AV41" s="120"/>
      <c r="AW41" s="120"/>
      <c r="AX41" s="120"/>
      <c r="AY41" s="304"/>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row>
    <row r="42" spans="1:76" s="22" customFormat="1" ht="14.25" x14ac:dyDescent="0.2">
      <c r="A42" s="61" t="s">
        <v>25</v>
      </c>
      <c r="B42" s="62" t="s">
        <v>251</v>
      </c>
      <c r="C42" s="143">
        <f>SUM(C43:C52)</f>
        <v>773111</v>
      </c>
      <c r="D42" s="143">
        <f t="shared" ref="D42:Z42" si="38">SUM(D43:D52)</f>
        <v>607500</v>
      </c>
      <c r="E42" s="143">
        <f t="shared" si="38"/>
        <v>165611</v>
      </c>
      <c r="F42" s="143">
        <f t="shared" si="38"/>
        <v>153980</v>
      </c>
      <c r="G42" s="143">
        <f t="shared" si="38"/>
        <v>135050</v>
      </c>
      <c r="H42" s="143">
        <f t="shared" si="38"/>
        <v>135050</v>
      </c>
      <c r="I42" s="143">
        <f t="shared" si="38"/>
        <v>0</v>
      </c>
      <c r="J42" s="143">
        <f t="shared" si="38"/>
        <v>18930</v>
      </c>
      <c r="K42" s="143">
        <f t="shared" si="38"/>
        <v>18930</v>
      </c>
      <c r="L42" s="143">
        <f t="shared" si="38"/>
        <v>0</v>
      </c>
      <c r="M42" s="143">
        <f t="shared" si="38"/>
        <v>238193</v>
      </c>
      <c r="N42" s="143">
        <f t="shared" si="38"/>
        <v>191019</v>
      </c>
      <c r="O42" s="143">
        <f t="shared" si="38"/>
        <v>191019</v>
      </c>
      <c r="P42" s="143">
        <f t="shared" si="38"/>
        <v>0</v>
      </c>
      <c r="Q42" s="143">
        <f t="shared" si="38"/>
        <v>47174</v>
      </c>
      <c r="R42" s="143">
        <f t="shared" si="38"/>
        <v>47174</v>
      </c>
      <c r="S42" s="143">
        <f t="shared" si="38"/>
        <v>0</v>
      </c>
      <c r="T42" s="143">
        <f t="shared" si="38"/>
        <v>380938</v>
      </c>
      <c r="U42" s="143">
        <f t="shared" si="38"/>
        <v>281431</v>
      </c>
      <c r="V42" s="143">
        <f t="shared" si="38"/>
        <v>281431</v>
      </c>
      <c r="W42" s="143">
        <f t="shared" si="38"/>
        <v>0</v>
      </c>
      <c r="X42" s="143">
        <f t="shared" si="38"/>
        <v>99507</v>
      </c>
      <c r="Y42" s="143">
        <f t="shared" si="38"/>
        <v>99507</v>
      </c>
      <c r="Z42" s="143">
        <f t="shared" si="38"/>
        <v>0</v>
      </c>
      <c r="AA42" s="143">
        <f>SUM(AA43:AA52)</f>
        <v>280456.53367900004</v>
      </c>
      <c r="AB42" s="143">
        <f t="shared" ref="AB42:AX42" si="39">SUM(AB43:AB52)</f>
        <v>233145.09021700002</v>
      </c>
      <c r="AC42" s="143">
        <f t="shared" si="39"/>
        <v>47311.443462000003</v>
      </c>
      <c r="AD42" s="143">
        <f t="shared" si="39"/>
        <v>89741.390210000012</v>
      </c>
      <c r="AE42" s="143">
        <f t="shared" si="39"/>
        <v>82480.322801000002</v>
      </c>
      <c r="AF42" s="143">
        <f t="shared" si="39"/>
        <v>82480.322801000002</v>
      </c>
      <c r="AG42" s="143">
        <f t="shared" si="39"/>
        <v>0</v>
      </c>
      <c r="AH42" s="143">
        <f t="shared" si="39"/>
        <v>7261.0674090000002</v>
      </c>
      <c r="AI42" s="143">
        <f t="shared" si="39"/>
        <v>7261.0674090000002</v>
      </c>
      <c r="AJ42" s="143">
        <f t="shared" si="39"/>
        <v>0</v>
      </c>
      <c r="AK42" s="143">
        <f t="shared" si="39"/>
        <v>69923.151704999997</v>
      </c>
      <c r="AL42" s="143">
        <f t="shared" si="39"/>
        <v>56753.948300000004</v>
      </c>
      <c r="AM42" s="143">
        <f t="shared" si="39"/>
        <v>56753.948300000004</v>
      </c>
      <c r="AN42" s="143">
        <f t="shared" si="39"/>
        <v>0</v>
      </c>
      <c r="AO42" s="143">
        <f t="shared" si="39"/>
        <v>13169.203405</v>
      </c>
      <c r="AP42" s="143">
        <f t="shared" si="39"/>
        <v>13169.203405</v>
      </c>
      <c r="AQ42" s="143">
        <f t="shared" si="39"/>
        <v>0</v>
      </c>
      <c r="AR42" s="143">
        <f t="shared" si="39"/>
        <v>120791.99176400001</v>
      </c>
      <c r="AS42" s="143">
        <f t="shared" si="39"/>
        <v>93910.819115999999</v>
      </c>
      <c r="AT42" s="143">
        <f t="shared" si="39"/>
        <v>93910.819115999999</v>
      </c>
      <c r="AU42" s="143">
        <f t="shared" si="39"/>
        <v>0</v>
      </c>
      <c r="AV42" s="143">
        <f t="shared" si="39"/>
        <v>26881.172648000003</v>
      </c>
      <c r="AW42" s="143">
        <f t="shared" si="39"/>
        <v>26881.172648000003</v>
      </c>
      <c r="AX42" s="143">
        <f t="shared" si="39"/>
        <v>0</v>
      </c>
      <c r="AY42" s="303">
        <f t="shared" ref="AY42:BD52" si="40">AA42/C42</f>
        <v>0.36276360532834229</v>
      </c>
      <c r="AZ42" s="303">
        <f t="shared" si="40"/>
        <v>0.38377792628312762</v>
      </c>
      <c r="BA42" s="303">
        <f t="shared" si="40"/>
        <v>0.28567814614971232</v>
      </c>
      <c r="BB42" s="303">
        <f t="shared" si="40"/>
        <v>0.58281198993375771</v>
      </c>
      <c r="BC42" s="303">
        <f t="shared" si="40"/>
        <v>0.61073915439466864</v>
      </c>
      <c r="BD42" s="303">
        <f t="shared" si="40"/>
        <v>0.61073915439466864</v>
      </c>
      <c r="BE42" s="303"/>
      <c r="BF42" s="303">
        <f t="shared" ref="BF42:BG52" si="41">AH42/J42</f>
        <v>0.38357461220285261</v>
      </c>
      <c r="BG42" s="303">
        <f t="shared" si="41"/>
        <v>0.38357461220285261</v>
      </c>
      <c r="BH42" s="303"/>
      <c r="BI42" s="303">
        <f t="shared" ref="BI42:BK52" si="42">AK42/M42</f>
        <v>0.293556702778839</v>
      </c>
      <c r="BJ42" s="303">
        <f t="shared" si="42"/>
        <v>0.29711153497819592</v>
      </c>
      <c r="BK42" s="303">
        <f t="shared" si="42"/>
        <v>0.29711153497819592</v>
      </c>
      <c r="BL42" s="303"/>
      <c r="BM42" s="303">
        <f t="shared" ref="BM42:BN52" si="43">AO42/Q42</f>
        <v>0.27916232257175561</v>
      </c>
      <c r="BN42" s="303">
        <f t="shared" si="43"/>
        <v>0.27916232257175561</v>
      </c>
      <c r="BO42" s="303"/>
      <c r="BP42" s="303">
        <f t="shared" ref="BP42:BR52" si="44">AR42/T42</f>
        <v>0.31709094856380832</v>
      </c>
      <c r="BQ42" s="303">
        <f t="shared" si="44"/>
        <v>0.33369038633270676</v>
      </c>
      <c r="BR42" s="303">
        <f t="shared" si="44"/>
        <v>0.33369038633270676</v>
      </c>
      <c r="BS42" s="303"/>
      <c r="BT42" s="303">
        <f t="shared" ref="BT42:BU52" si="45">AV42/X42</f>
        <v>0.27014353410312847</v>
      </c>
      <c r="BU42" s="303">
        <f t="shared" si="45"/>
        <v>0.27014353410312847</v>
      </c>
      <c r="BV42" s="303"/>
    </row>
    <row r="43" spans="1:76" x14ac:dyDescent="0.25">
      <c r="A43" s="58">
        <v>1</v>
      </c>
      <c r="B43" s="59" t="s">
        <v>423</v>
      </c>
      <c r="C43" s="119">
        <f t="shared" si="19"/>
        <v>28365</v>
      </c>
      <c r="D43" s="120">
        <f t="shared" ref="D43:D52" si="46">G43+N43+U43</f>
        <v>18768</v>
      </c>
      <c r="E43" s="120">
        <f t="shared" ref="E43:E52" si="47">J43+Q43+X43</f>
        <v>9597</v>
      </c>
      <c r="F43" s="120">
        <f t="shared" ref="F43:F52" si="48">G43+J43</f>
        <v>15423</v>
      </c>
      <c r="G43" s="120">
        <f t="shared" ref="G43:G52" si="49">H43+I43</f>
        <v>13523</v>
      </c>
      <c r="H43" s="120">
        <v>13523</v>
      </c>
      <c r="I43" s="120"/>
      <c r="J43" s="120">
        <f t="shared" ref="J43:J52" si="50">K43+L43</f>
        <v>1900</v>
      </c>
      <c r="K43" s="120">
        <v>1900</v>
      </c>
      <c r="L43" s="120"/>
      <c r="M43" s="120">
        <f t="shared" ref="M43:M52" si="51">N43+Q43</f>
        <v>3324</v>
      </c>
      <c r="N43" s="120">
        <f t="shared" ref="N43:N52" si="52">O43+P43</f>
        <v>0</v>
      </c>
      <c r="O43" s="120">
        <v>0</v>
      </c>
      <c r="P43" s="120"/>
      <c r="Q43" s="120">
        <f t="shared" ref="Q43:Q52" si="53">R43+S43</f>
        <v>3324</v>
      </c>
      <c r="R43" s="120">
        <v>3324</v>
      </c>
      <c r="S43" s="120"/>
      <c r="T43" s="120">
        <f t="shared" ref="T43:T52" si="54">U43+X43</f>
        <v>9618</v>
      </c>
      <c r="U43" s="120">
        <f t="shared" ref="U43:U52" si="55">V43+W43</f>
        <v>5245</v>
      </c>
      <c r="V43" s="120">
        <v>5245</v>
      </c>
      <c r="W43" s="120"/>
      <c r="X43" s="120">
        <f t="shared" ref="X43:X52" si="56">Y43+Z43</f>
        <v>4373</v>
      </c>
      <c r="Y43" s="120">
        <v>4373</v>
      </c>
      <c r="Z43" s="120"/>
      <c r="AA43" s="119">
        <f t="shared" ref="AA43:AA52" si="57">AB43+AC43</f>
        <v>16779.143854999998</v>
      </c>
      <c r="AB43" s="120">
        <f t="shared" ref="AB43:AB52" si="58">AE43+AL43+AS43</f>
        <v>15303.146761</v>
      </c>
      <c r="AC43" s="120">
        <f t="shared" ref="AC43:AC52" si="59">AH43+AO43+AV43</f>
        <v>1475.9970939999998</v>
      </c>
      <c r="AD43" s="120">
        <f t="shared" ref="AD43:AD52" si="60">AE43+AH43</f>
        <v>11662.183115</v>
      </c>
      <c r="AE43" s="120">
        <f t="shared" ref="AE43:AE52" si="61">AF43+AG43</f>
        <v>11269.782175</v>
      </c>
      <c r="AF43" s="120">
        <v>11269.782175</v>
      </c>
      <c r="AG43" s="120"/>
      <c r="AH43" s="120">
        <f t="shared" ref="AH43:AH52" si="62">AI43+AJ43</f>
        <v>392.40093999999999</v>
      </c>
      <c r="AI43" s="120">
        <v>392.40093999999999</v>
      </c>
      <c r="AJ43" s="120"/>
      <c r="AK43" s="120">
        <f t="shared" ref="AK43:AK52" si="63">AL43+AO43</f>
        <v>295.00419399999998</v>
      </c>
      <c r="AL43" s="120">
        <f t="shared" ref="AL43:AL52" si="64">AM43+AN43</f>
        <v>0</v>
      </c>
      <c r="AM43" s="120"/>
      <c r="AN43" s="120"/>
      <c r="AO43" s="120">
        <f t="shared" ref="AO43:AO52" si="65">AP43+AQ43</f>
        <v>295.00419399999998</v>
      </c>
      <c r="AP43" s="120">
        <v>295.00419399999998</v>
      </c>
      <c r="AQ43" s="120"/>
      <c r="AR43" s="120">
        <f t="shared" ref="AR43:AR52" si="66">AS43+AV43</f>
        <v>4821.9565459999994</v>
      </c>
      <c r="AS43" s="120">
        <f t="shared" ref="AS43:AS52" si="67">AT43+AU43</f>
        <v>4033.3645859999997</v>
      </c>
      <c r="AT43" s="120">
        <v>4033.3645859999997</v>
      </c>
      <c r="AU43" s="120"/>
      <c r="AV43" s="120">
        <f t="shared" ref="AV43:AV52" si="68">AW43+AX43</f>
        <v>788.59195999999997</v>
      </c>
      <c r="AW43" s="120">
        <v>788.59195999999997</v>
      </c>
      <c r="AX43" s="120"/>
      <c r="AY43" s="304">
        <f t="shared" si="40"/>
        <v>0.5915439398907103</v>
      </c>
      <c r="AZ43" s="304">
        <f t="shared" si="40"/>
        <v>0.81538505759803925</v>
      </c>
      <c r="BA43" s="304">
        <f t="shared" si="40"/>
        <v>0.15379775909138271</v>
      </c>
      <c r="BB43" s="304">
        <f t="shared" si="40"/>
        <v>0.75615529501394019</v>
      </c>
      <c r="BC43" s="304">
        <f t="shared" si="40"/>
        <v>0.83337884899800341</v>
      </c>
      <c r="BD43" s="304">
        <f t="shared" si="40"/>
        <v>0.83337884899800341</v>
      </c>
      <c r="BE43" s="304"/>
      <c r="BF43" s="304">
        <f t="shared" si="41"/>
        <v>0.20652681052631577</v>
      </c>
      <c r="BG43" s="304">
        <f t="shared" si="41"/>
        <v>0.20652681052631577</v>
      </c>
      <c r="BH43" s="304"/>
      <c r="BI43" s="304">
        <f t="shared" si="42"/>
        <v>8.8749757521058958E-2</v>
      </c>
      <c r="BJ43" s="304"/>
      <c r="BK43" s="304"/>
      <c r="BL43" s="304"/>
      <c r="BM43" s="304">
        <f t="shared" si="43"/>
        <v>8.8749757521058958E-2</v>
      </c>
      <c r="BN43" s="304">
        <f t="shared" si="43"/>
        <v>8.8749757521058958E-2</v>
      </c>
      <c r="BO43" s="304"/>
      <c r="BP43" s="304">
        <f t="shared" si="44"/>
        <v>0.50134711436889157</v>
      </c>
      <c r="BQ43" s="304">
        <f t="shared" si="44"/>
        <v>0.76899229475691133</v>
      </c>
      <c r="BR43" s="304">
        <f t="shared" si="44"/>
        <v>0.76899229475691133</v>
      </c>
      <c r="BS43" s="304"/>
      <c r="BT43" s="304">
        <f t="shared" si="45"/>
        <v>0.1803320283558198</v>
      </c>
      <c r="BU43" s="304">
        <f t="shared" si="45"/>
        <v>0.1803320283558198</v>
      </c>
      <c r="BV43" s="304"/>
      <c r="BX43" s="121"/>
    </row>
    <row r="44" spans="1:76" x14ac:dyDescent="0.25">
      <c r="A44" s="58">
        <v>2</v>
      </c>
      <c r="B44" s="59" t="s">
        <v>133</v>
      </c>
      <c r="C44" s="119">
        <f t="shared" si="19"/>
        <v>58807</v>
      </c>
      <c r="D44" s="120">
        <f t="shared" si="46"/>
        <v>42300</v>
      </c>
      <c r="E44" s="120">
        <f t="shared" si="47"/>
        <v>16507</v>
      </c>
      <c r="F44" s="120">
        <f t="shared" si="48"/>
        <v>15203</v>
      </c>
      <c r="G44" s="120">
        <f t="shared" si="49"/>
        <v>13123</v>
      </c>
      <c r="H44" s="120">
        <v>13123</v>
      </c>
      <c r="I44" s="120"/>
      <c r="J44" s="120">
        <f t="shared" si="50"/>
        <v>2080</v>
      </c>
      <c r="K44" s="120">
        <v>2080</v>
      </c>
      <c r="L44" s="120"/>
      <c r="M44" s="120">
        <f t="shared" si="51"/>
        <v>4391</v>
      </c>
      <c r="N44" s="120">
        <f t="shared" si="52"/>
        <v>0</v>
      </c>
      <c r="O44" s="120">
        <v>0</v>
      </c>
      <c r="P44" s="120"/>
      <c r="Q44" s="120">
        <f t="shared" si="53"/>
        <v>4391</v>
      </c>
      <c r="R44" s="120">
        <v>4391</v>
      </c>
      <c r="S44" s="120"/>
      <c r="T44" s="120">
        <f t="shared" si="54"/>
        <v>39213</v>
      </c>
      <c r="U44" s="120">
        <f t="shared" si="55"/>
        <v>29177</v>
      </c>
      <c r="V44" s="120">
        <v>29177</v>
      </c>
      <c r="W44" s="120"/>
      <c r="X44" s="120">
        <f t="shared" si="56"/>
        <v>10036</v>
      </c>
      <c r="Y44" s="120">
        <v>10036</v>
      </c>
      <c r="Z44" s="120"/>
      <c r="AA44" s="119">
        <f t="shared" si="57"/>
        <v>28290.677339000002</v>
      </c>
      <c r="AB44" s="120">
        <f t="shared" si="58"/>
        <v>21830.124605000001</v>
      </c>
      <c r="AC44" s="120">
        <f t="shared" si="59"/>
        <v>6460.552733999999</v>
      </c>
      <c r="AD44" s="120">
        <f t="shared" si="60"/>
        <v>13237.209124000001</v>
      </c>
      <c r="AE44" s="120">
        <f t="shared" si="61"/>
        <v>12789.667829</v>
      </c>
      <c r="AF44" s="120">
        <v>12789.667829</v>
      </c>
      <c r="AG44" s="120"/>
      <c r="AH44" s="120">
        <f t="shared" si="62"/>
        <v>447.54129499999999</v>
      </c>
      <c r="AI44" s="120">
        <v>447.54129499999999</v>
      </c>
      <c r="AJ44" s="120"/>
      <c r="AK44" s="120">
        <f t="shared" si="63"/>
        <v>1011.9610849999999</v>
      </c>
      <c r="AL44" s="120">
        <f t="shared" si="64"/>
        <v>0</v>
      </c>
      <c r="AM44" s="120"/>
      <c r="AN44" s="120"/>
      <c r="AO44" s="120">
        <f t="shared" si="65"/>
        <v>1011.9610849999999</v>
      </c>
      <c r="AP44" s="120">
        <v>1011.9610849999999</v>
      </c>
      <c r="AQ44" s="120"/>
      <c r="AR44" s="120">
        <f t="shared" si="66"/>
        <v>14041.50713</v>
      </c>
      <c r="AS44" s="120">
        <f t="shared" si="67"/>
        <v>9040.4567760000009</v>
      </c>
      <c r="AT44" s="120">
        <v>9040.4567760000009</v>
      </c>
      <c r="AU44" s="120"/>
      <c r="AV44" s="120">
        <f t="shared" si="68"/>
        <v>5001.0503539999991</v>
      </c>
      <c r="AW44" s="120">
        <v>5001.0503539999991</v>
      </c>
      <c r="AX44" s="120"/>
      <c r="AY44" s="304">
        <f t="shared" si="40"/>
        <v>0.48107669731494551</v>
      </c>
      <c r="AZ44" s="304">
        <f t="shared" si="40"/>
        <v>0.51607859586288418</v>
      </c>
      <c r="BA44" s="304">
        <f t="shared" si="40"/>
        <v>0.39138260943842001</v>
      </c>
      <c r="BB44" s="304">
        <f t="shared" si="40"/>
        <v>0.87069717318950213</v>
      </c>
      <c r="BC44" s="304">
        <f t="shared" si="40"/>
        <v>0.97459939259315709</v>
      </c>
      <c r="BD44" s="304">
        <f t="shared" si="40"/>
        <v>0.97459939259315709</v>
      </c>
      <c r="BE44" s="304"/>
      <c r="BF44" s="304">
        <f t="shared" si="41"/>
        <v>0.21516408413461538</v>
      </c>
      <c r="BG44" s="304">
        <f t="shared" si="41"/>
        <v>0.21516408413461538</v>
      </c>
      <c r="BH44" s="304"/>
      <c r="BI44" s="304">
        <f t="shared" si="42"/>
        <v>0.23046255636529261</v>
      </c>
      <c r="BJ44" s="304"/>
      <c r="BK44" s="304"/>
      <c r="BL44" s="304"/>
      <c r="BM44" s="304">
        <f t="shared" si="43"/>
        <v>0.23046255636529261</v>
      </c>
      <c r="BN44" s="304">
        <f t="shared" si="43"/>
        <v>0.23046255636529261</v>
      </c>
      <c r="BO44" s="304"/>
      <c r="BP44" s="304">
        <f t="shared" si="44"/>
        <v>0.35808296049779409</v>
      </c>
      <c r="BQ44" s="304">
        <f t="shared" si="44"/>
        <v>0.30984874305103338</v>
      </c>
      <c r="BR44" s="304">
        <f t="shared" si="44"/>
        <v>0.30984874305103338</v>
      </c>
      <c r="BS44" s="304"/>
      <c r="BT44" s="304">
        <f t="shared" si="45"/>
        <v>0.49831111538461531</v>
      </c>
      <c r="BU44" s="304">
        <f t="shared" si="45"/>
        <v>0.49831111538461531</v>
      </c>
      <c r="BV44" s="304"/>
      <c r="BX44" s="121"/>
    </row>
    <row r="45" spans="1:76" x14ac:dyDescent="0.25">
      <c r="A45" s="58">
        <v>3</v>
      </c>
      <c r="B45" s="59" t="s">
        <v>135</v>
      </c>
      <c r="C45" s="119">
        <f t="shared" si="19"/>
        <v>50539</v>
      </c>
      <c r="D45" s="120">
        <f t="shared" si="46"/>
        <v>36244</v>
      </c>
      <c r="E45" s="120">
        <f t="shared" si="47"/>
        <v>14295</v>
      </c>
      <c r="F45" s="120">
        <f t="shared" si="48"/>
        <v>13105</v>
      </c>
      <c r="G45" s="120">
        <f t="shared" si="49"/>
        <v>11165</v>
      </c>
      <c r="H45" s="120">
        <v>11165</v>
      </c>
      <c r="I45" s="120"/>
      <c r="J45" s="120">
        <f t="shared" si="50"/>
        <v>1940</v>
      </c>
      <c r="K45" s="120">
        <v>1940</v>
      </c>
      <c r="L45" s="120"/>
      <c r="M45" s="120">
        <f t="shared" si="51"/>
        <v>3424</v>
      </c>
      <c r="N45" s="120">
        <f t="shared" si="52"/>
        <v>0</v>
      </c>
      <c r="O45" s="120">
        <v>0</v>
      </c>
      <c r="P45" s="120"/>
      <c r="Q45" s="120">
        <f t="shared" si="53"/>
        <v>3424</v>
      </c>
      <c r="R45" s="120">
        <v>3424</v>
      </c>
      <c r="S45" s="120"/>
      <c r="T45" s="120">
        <f t="shared" si="54"/>
        <v>34010</v>
      </c>
      <c r="U45" s="120">
        <f t="shared" si="55"/>
        <v>25079</v>
      </c>
      <c r="V45" s="120">
        <v>25079</v>
      </c>
      <c r="W45" s="120"/>
      <c r="X45" s="120">
        <f t="shared" si="56"/>
        <v>8931</v>
      </c>
      <c r="Y45" s="120">
        <v>8931</v>
      </c>
      <c r="Z45" s="120"/>
      <c r="AA45" s="119">
        <f t="shared" si="57"/>
        <v>30727.651472000001</v>
      </c>
      <c r="AB45" s="120">
        <f t="shared" si="58"/>
        <v>25637.61</v>
      </c>
      <c r="AC45" s="120">
        <f t="shared" si="59"/>
        <v>5090.0414720000008</v>
      </c>
      <c r="AD45" s="120">
        <f t="shared" si="60"/>
        <v>10667.887360000001</v>
      </c>
      <c r="AE45" s="120">
        <f t="shared" si="61"/>
        <v>10128.66</v>
      </c>
      <c r="AF45" s="120">
        <v>10128.66</v>
      </c>
      <c r="AG45" s="120"/>
      <c r="AH45" s="120">
        <f t="shared" si="62"/>
        <v>539.22735999999998</v>
      </c>
      <c r="AI45" s="120">
        <v>539.22735999999998</v>
      </c>
      <c r="AJ45" s="120"/>
      <c r="AK45" s="120">
        <f t="shared" si="63"/>
        <v>204.12962500000003</v>
      </c>
      <c r="AL45" s="120">
        <f t="shared" si="64"/>
        <v>0</v>
      </c>
      <c r="AM45" s="120"/>
      <c r="AN45" s="120"/>
      <c r="AO45" s="120">
        <f t="shared" si="65"/>
        <v>204.12962500000003</v>
      </c>
      <c r="AP45" s="120">
        <v>204.12962500000003</v>
      </c>
      <c r="AQ45" s="120"/>
      <c r="AR45" s="120">
        <f t="shared" si="66"/>
        <v>19855.634487000003</v>
      </c>
      <c r="AS45" s="120">
        <f t="shared" si="67"/>
        <v>15508.95</v>
      </c>
      <c r="AT45" s="120">
        <v>15508.95</v>
      </c>
      <c r="AU45" s="120"/>
      <c r="AV45" s="120">
        <f t="shared" si="68"/>
        <v>4346.6844870000004</v>
      </c>
      <c r="AW45" s="120">
        <v>4346.6844870000004</v>
      </c>
      <c r="AX45" s="120"/>
      <c r="AY45" s="304">
        <f t="shared" si="40"/>
        <v>0.60799880235065995</v>
      </c>
      <c r="AZ45" s="304">
        <f t="shared" si="40"/>
        <v>0.70736149431630069</v>
      </c>
      <c r="BA45" s="304">
        <f t="shared" si="40"/>
        <v>0.35607145659321449</v>
      </c>
      <c r="BB45" s="304">
        <f t="shared" si="40"/>
        <v>0.8140318473864937</v>
      </c>
      <c r="BC45" s="304">
        <f t="shared" si="40"/>
        <v>0.90717957904164803</v>
      </c>
      <c r="BD45" s="304">
        <f t="shared" si="40"/>
        <v>0.90717957904164803</v>
      </c>
      <c r="BE45" s="304"/>
      <c r="BF45" s="304">
        <f t="shared" si="41"/>
        <v>0.27795224742268038</v>
      </c>
      <c r="BG45" s="304">
        <f t="shared" si="41"/>
        <v>0.27795224742268038</v>
      </c>
      <c r="BH45" s="304"/>
      <c r="BI45" s="304">
        <f t="shared" si="42"/>
        <v>5.9617297021028047E-2</v>
      </c>
      <c r="BJ45" s="304"/>
      <c r="BK45" s="304"/>
      <c r="BL45" s="304"/>
      <c r="BM45" s="304">
        <f t="shared" si="43"/>
        <v>5.9617297021028047E-2</v>
      </c>
      <c r="BN45" s="304">
        <f t="shared" si="43"/>
        <v>5.9617297021028047E-2</v>
      </c>
      <c r="BO45" s="304"/>
      <c r="BP45" s="304">
        <f t="shared" si="44"/>
        <v>0.58381753857688923</v>
      </c>
      <c r="BQ45" s="304">
        <f t="shared" si="44"/>
        <v>0.61840384385342317</v>
      </c>
      <c r="BR45" s="304">
        <f t="shared" si="44"/>
        <v>0.61840384385342317</v>
      </c>
      <c r="BS45" s="304"/>
      <c r="BT45" s="304">
        <f t="shared" si="45"/>
        <v>0.48669628115552577</v>
      </c>
      <c r="BU45" s="304">
        <f t="shared" si="45"/>
        <v>0.48669628115552577</v>
      </c>
      <c r="BV45" s="304"/>
      <c r="BX45" s="121"/>
    </row>
    <row r="46" spans="1:76" x14ac:dyDescent="0.25">
      <c r="A46" s="58">
        <v>4</v>
      </c>
      <c r="B46" s="59" t="s">
        <v>136</v>
      </c>
      <c r="C46" s="119">
        <f t="shared" si="19"/>
        <v>41147</v>
      </c>
      <c r="D46" s="120">
        <f t="shared" si="46"/>
        <v>29692</v>
      </c>
      <c r="E46" s="120">
        <f t="shared" si="47"/>
        <v>11455</v>
      </c>
      <c r="F46" s="120">
        <f t="shared" si="48"/>
        <v>18901</v>
      </c>
      <c r="G46" s="120">
        <f t="shared" si="49"/>
        <v>17031</v>
      </c>
      <c r="H46" s="120">
        <v>17031</v>
      </c>
      <c r="I46" s="120"/>
      <c r="J46" s="120">
        <f t="shared" si="50"/>
        <v>1870</v>
      </c>
      <c r="K46" s="120">
        <v>1870</v>
      </c>
      <c r="L46" s="120"/>
      <c r="M46" s="120">
        <f t="shared" si="51"/>
        <v>2641</v>
      </c>
      <c r="N46" s="120">
        <f t="shared" si="52"/>
        <v>0</v>
      </c>
      <c r="O46" s="120">
        <v>0</v>
      </c>
      <c r="P46" s="120"/>
      <c r="Q46" s="120">
        <f t="shared" si="53"/>
        <v>2641</v>
      </c>
      <c r="R46" s="120">
        <v>2641</v>
      </c>
      <c r="S46" s="120"/>
      <c r="T46" s="120">
        <f t="shared" si="54"/>
        <v>19605</v>
      </c>
      <c r="U46" s="120">
        <f t="shared" si="55"/>
        <v>12661</v>
      </c>
      <c r="V46" s="120">
        <v>12661</v>
      </c>
      <c r="W46" s="120"/>
      <c r="X46" s="120">
        <f t="shared" si="56"/>
        <v>6944</v>
      </c>
      <c r="Y46" s="120">
        <v>6944</v>
      </c>
      <c r="Z46" s="120"/>
      <c r="AA46" s="119">
        <f t="shared" si="57"/>
        <v>17769.466240000002</v>
      </c>
      <c r="AB46" s="120">
        <f t="shared" si="58"/>
        <v>15090.986220000001</v>
      </c>
      <c r="AC46" s="120">
        <f t="shared" si="59"/>
        <v>2678.4800200000004</v>
      </c>
      <c r="AD46" s="120">
        <f t="shared" si="60"/>
        <v>12139.338842000001</v>
      </c>
      <c r="AE46" s="120">
        <f t="shared" si="61"/>
        <v>11744.468220000001</v>
      </c>
      <c r="AF46" s="120">
        <v>11744.468220000001</v>
      </c>
      <c r="AG46" s="120"/>
      <c r="AH46" s="120">
        <f t="shared" si="62"/>
        <v>394.87062200000003</v>
      </c>
      <c r="AI46" s="120">
        <v>394.87062200000003</v>
      </c>
      <c r="AJ46" s="120"/>
      <c r="AK46" s="120">
        <f t="shared" si="63"/>
        <v>1566.1944500000002</v>
      </c>
      <c r="AL46" s="120">
        <f t="shared" si="64"/>
        <v>0</v>
      </c>
      <c r="AM46" s="120"/>
      <c r="AN46" s="120"/>
      <c r="AO46" s="120">
        <f t="shared" si="65"/>
        <v>1566.1944500000002</v>
      </c>
      <c r="AP46" s="120">
        <v>1566.1944500000002</v>
      </c>
      <c r="AQ46" s="120"/>
      <c r="AR46" s="120">
        <f t="shared" si="66"/>
        <v>4063.9329480000001</v>
      </c>
      <c r="AS46" s="120">
        <f t="shared" si="67"/>
        <v>3346.518</v>
      </c>
      <c r="AT46" s="120">
        <v>3346.518</v>
      </c>
      <c r="AU46" s="120"/>
      <c r="AV46" s="120">
        <f t="shared" si="68"/>
        <v>717.41494799999998</v>
      </c>
      <c r="AW46" s="120">
        <v>717.41494799999998</v>
      </c>
      <c r="AX46" s="120"/>
      <c r="AY46" s="304">
        <f t="shared" si="40"/>
        <v>0.43185326366442273</v>
      </c>
      <c r="AZ46" s="304">
        <f t="shared" si="40"/>
        <v>0.50825091674525125</v>
      </c>
      <c r="BA46" s="304">
        <f t="shared" si="40"/>
        <v>0.2338262784810127</v>
      </c>
      <c r="BB46" s="304">
        <f t="shared" si="40"/>
        <v>0.64225907846145713</v>
      </c>
      <c r="BC46" s="304">
        <f t="shared" si="40"/>
        <v>0.68959357759379958</v>
      </c>
      <c r="BD46" s="304">
        <f t="shared" si="40"/>
        <v>0.68959357759379958</v>
      </c>
      <c r="BE46" s="304"/>
      <c r="BF46" s="304">
        <f t="shared" si="41"/>
        <v>0.21116076042780749</v>
      </c>
      <c r="BG46" s="304">
        <f t="shared" si="41"/>
        <v>0.21116076042780749</v>
      </c>
      <c r="BH46" s="304"/>
      <c r="BI46" s="304">
        <f t="shared" si="42"/>
        <v>0.59303084059068545</v>
      </c>
      <c r="BJ46" s="304"/>
      <c r="BK46" s="304"/>
      <c r="BL46" s="304"/>
      <c r="BM46" s="304">
        <f t="shared" si="43"/>
        <v>0.59303084059068545</v>
      </c>
      <c r="BN46" s="304">
        <f t="shared" si="43"/>
        <v>0.59303084059068545</v>
      </c>
      <c r="BO46" s="304"/>
      <c r="BP46" s="304">
        <f t="shared" si="44"/>
        <v>0.20729063749043611</v>
      </c>
      <c r="BQ46" s="304">
        <f t="shared" si="44"/>
        <v>0.26431703656899141</v>
      </c>
      <c r="BR46" s="304">
        <f t="shared" si="44"/>
        <v>0.26431703656899141</v>
      </c>
      <c r="BS46" s="304"/>
      <c r="BT46" s="304">
        <f t="shared" si="45"/>
        <v>0.10331436463133641</v>
      </c>
      <c r="BU46" s="304">
        <f t="shared" si="45"/>
        <v>0.10331436463133641</v>
      </c>
      <c r="BV46" s="304"/>
    </row>
    <row r="47" spans="1:76" x14ac:dyDescent="0.25">
      <c r="A47" s="58">
        <v>5</v>
      </c>
      <c r="B47" s="59" t="s">
        <v>422</v>
      </c>
      <c r="C47" s="119">
        <f t="shared" si="19"/>
        <v>163346</v>
      </c>
      <c r="D47" s="120">
        <f t="shared" si="46"/>
        <v>138921</v>
      </c>
      <c r="E47" s="120">
        <f t="shared" si="47"/>
        <v>24425</v>
      </c>
      <c r="F47" s="120">
        <f t="shared" si="48"/>
        <v>20770</v>
      </c>
      <c r="G47" s="120">
        <f t="shared" si="49"/>
        <v>18770</v>
      </c>
      <c r="H47" s="120">
        <v>18770</v>
      </c>
      <c r="I47" s="120"/>
      <c r="J47" s="120">
        <f t="shared" si="50"/>
        <v>2000</v>
      </c>
      <c r="K47" s="120">
        <v>2000</v>
      </c>
      <c r="L47" s="120"/>
      <c r="M47" s="120">
        <f t="shared" si="51"/>
        <v>74334</v>
      </c>
      <c r="N47" s="120">
        <f t="shared" si="52"/>
        <v>66409</v>
      </c>
      <c r="O47" s="120">
        <v>66409</v>
      </c>
      <c r="P47" s="120"/>
      <c r="Q47" s="120">
        <f t="shared" si="53"/>
        <v>7925</v>
      </c>
      <c r="R47" s="120">
        <v>7925</v>
      </c>
      <c r="S47" s="120"/>
      <c r="T47" s="120">
        <f t="shared" si="54"/>
        <v>68242</v>
      </c>
      <c r="U47" s="120">
        <f t="shared" si="55"/>
        <v>53742</v>
      </c>
      <c r="V47" s="120">
        <v>53742</v>
      </c>
      <c r="W47" s="120"/>
      <c r="X47" s="120">
        <f t="shared" si="56"/>
        <v>14500</v>
      </c>
      <c r="Y47" s="120">
        <v>14500</v>
      </c>
      <c r="Z47" s="120"/>
      <c r="AA47" s="119">
        <f t="shared" si="57"/>
        <v>78973.558492000011</v>
      </c>
      <c r="AB47" s="120">
        <f t="shared" si="58"/>
        <v>66926.821262000012</v>
      </c>
      <c r="AC47" s="120">
        <f t="shared" si="59"/>
        <v>12046.737230000001</v>
      </c>
      <c r="AD47" s="120">
        <f t="shared" si="60"/>
        <v>11636.8145</v>
      </c>
      <c r="AE47" s="120">
        <f t="shared" si="61"/>
        <v>10049.431500000001</v>
      </c>
      <c r="AF47" s="120">
        <v>10049.431500000001</v>
      </c>
      <c r="AG47" s="120"/>
      <c r="AH47" s="120">
        <f t="shared" si="62"/>
        <v>1587.383</v>
      </c>
      <c r="AI47" s="120">
        <v>1587.383</v>
      </c>
      <c r="AJ47" s="120"/>
      <c r="AK47" s="120">
        <f t="shared" si="63"/>
        <v>41496.619500000001</v>
      </c>
      <c r="AL47" s="120">
        <f t="shared" si="64"/>
        <v>38043.737500000003</v>
      </c>
      <c r="AM47" s="120">
        <v>38043.737500000003</v>
      </c>
      <c r="AN47" s="120"/>
      <c r="AO47" s="120">
        <f t="shared" si="65"/>
        <v>3452.8820000000001</v>
      </c>
      <c r="AP47" s="120">
        <v>3452.8820000000001</v>
      </c>
      <c r="AQ47" s="120"/>
      <c r="AR47" s="120">
        <f t="shared" si="66"/>
        <v>25840.124492000003</v>
      </c>
      <c r="AS47" s="120">
        <f t="shared" si="67"/>
        <v>18833.652262000003</v>
      </c>
      <c r="AT47" s="120">
        <v>18833.652262000003</v>
      </c>
      <c r="AU47" s="120"/>
      <c r="AV47" s="120">
        <f t="shared" si="68"/>
        <v>7006.4722300000003</v>
      </c>
      <c r="AW47" s="120">
        <v>7006.4722300000003</v>
      </c>
      <c r="AX47" s="120"/>
      <c r="AY47" s="304">
        <f t="shared" si="40"/>
        <v>0.48347408869516251</v>
      </c>
      <c r="AZ47" s="304">
        <f t="shared" si="40"/>
        <v>0.48176172977447623</v>
      </c>
      <c r="BA47" s="304">
        <f t="shared" si="40"/>
        <v>0.49321339733879227</v>
      </c>
      <c r="BB47" s="304">
        <f t="shared" si="40"/>
        <v>0.56027031776600866</v>
      </c>
      <c r="BC47" s="304">
        <f t="shared" si="40"/>
        <v>0.53539858817261587</v>
      </c>
      <c r="BD47" s="304">
        <f t="shared" si="40"/>
        <v>0.53539858817261587</v>
      </c>
      <c r="BE47" s="304"/>
      <c r="BF47" s="304">
        <f t="shared" si="41"/>
        <v>0.79369149999999999</v>
      </c>
      <c r="BG47" s="304">
        <f t="shared" si="41"/>
        <v>0.79369149999999999</v>
      </c>
      <c r="BH47" s="304"/>
      <c r="BI47" s="304">
        <f t="shared" si="42"/>
        <v>0.55824547986116713</v>
      </c>
      <c r="BJ47" s="304">
        <f t="shared" si="42"/>
        <v>0.57287020584559323</v>
      </c>
      <c r="BK47" s="304">
        <f t="shared" si="42"/>
        <v>0.57287020584559323</v>
      </c>
      <c r="BL47" s="304"/>
      <c r="BM47" s="304">
        <f t="shared" si="43"/>
        <v>0.43569488958990538</v>
      </c>
      <c r="BN47" s="304">
        <f t="shared" si="43"/>
        <v>0.43569488958990538</v>
      </c>
      <c r="BO47" s="304"/>
      <c r="BP47" s="304">
        <f t="shared" si="44"/>
        <v>0.37865426704961758</v>
      </c>
      <c r="BQ47" s="304">
        <f t="shared" si="44"/>
        <v>0.35044568981429802</v>
      </c>
      <c r="BR47" s="304">
        <f t="shared" si="44"/>
        <v>0.35044568981429802</v>
      </c>
      <c r="BS47" s="304"/>
      <c r="BT47" s="304">
        <f t="shared" si="45"/>
        <v>0.48320498137931034</v>
      </c>
      <c r="BU47" s="304">
        <f t="shared" si="45"/>
        <v>0.48320498137931034</v>
      </c>
      <c r="BV47" s="304"/>
    </row>
    <row r="48" spans="1:76" x14ac:dyDescent="0.25">
      <c r="A48" s="58">
        <v>6</v>
      </c>
      <c r="B48" s="59" t="s">
        <v>147</v>
      </c>
      <c r="C48" s="119">
        <f t="shared" si="19"/>
        <v>86265</v>
      </c>
      <c r="D48" s="120">
        <f t="shared" si="46"/>
        <v>64944</v>
      </c>
      <c r="E48" s="120">
        <f t="shared" si="47"/>
        <v>21321</v>
      </c>
      <c r="F48" s="120">
        <f t="shared" si="48"/>
        <v>18354</v>
      </c>
      <c r="G48" s="120">
        <f t="shared" si="49"/>
        <v>16284</v>
      </c>
      <c r="H48" s="120">
        <v>16284</v>
      </c>
      <c r="I48" s="120"/>
      <c r="J48" s="120">
        <f t="shared" si="50"/>
        <v>2070</v>
      </c>
      <c r="K48" s="120">
        <v>2070</v>
      </c>
      <c r="L48" s="120"/>
      <c r="M48" s="120">
        <f t="shared" si="51"/>
        <v>4619</v>
      </c>
      <c r="N48" s="120">
        <f t="shared" si="52"/>
        <v>0</v>
      </c>
      <c r="O48" s="120">
        <v>0</v>
      </c>
      <c r="P48" s="120"/>
      <c r="Q48" s="120">
        <f t="shared" si="53"/>
        <v>4619</v>
      </c>
      <c r="R48" s="120">
        <v>4619</v>
      </c>
      <c r="S48" s="120"/>
      <c r="T48" s="120">
        <f t="shared" si="54"/>
        <v>63292</v>
      </c>
      <c r="U48" s="120">
        <f t="shared" si="55"/>
        <v>48660</v>
      </c>
      <c r="V48" s="120">
        <v>48660</v>
      </c>
      <c r="W48" s="120"/>
      <c r="X48" s="120">
        <f t="shared" si="56"/>
        <v>14632</v>
      </c>
      <c r="Y48" s="120">
        <v>14632</v>
      </c>
      <c r="Z48" s="120"/>
      <c r="AA48" s="119">
        <f t="shared" si="57"/>
        <v>23950.479649000001</v>
      </c>
      <c r="AB48" s="120">
        <f t="shared" si="58"/>
        <v>20007.132067999999</v>
      </c>
      <c r="AC48" s="120">
        <f t="shared" si="59"/>
        <v>3943.347581</v>
      </c>
      <c r="AD48" s="120">
        <f t="shared" si="60"/>
        <v>7097.166311</v>
      </c>
      <c r="AE48" s="120">
        <f t="shared" si="61"/>
        <v>6151.8021330000001</v>
      </c>
      <c r="AF48" s="120">
        <v>6151.8021330000001</v>
      </c>
      <c r="AG48" s="120"/>
      <c r="AH48" s="120">
        <f t="shared" si="62"/>
        <v>945.36417800000004</v>
      </c>
      <c r="AI48" s="120">
        <v>945.36417800000004</v>
      </c>
      <c r="AJ48" s="120"/>
      <c r="AK48" s="120">
        <f t="shared" si="63"/>
        <v>1028.9078490000002</v>
      </c>
      <c r="AL48" s="120">
        <f t="shared" si="64"/>
        <v>0</v>
      </c>
      <c r="AM48" s="120"/>
      <c r="AN48" s="120"/>
      <c r="AO48" s="120">
        <f t="shared" si="65"/>
        <v>1028.9078490000002</v>
      </c>
      <c r="AP48" s="120">
        <v>1028.9078490000002</v>
      </c>
      <c r="AQ48" s="120"/>
      <c r="AR48" s="120">
        <f t="shared" si="66"/>
        <v>15824.405489000001</v>
      </c>
      <c r="AS48" s="120">
        <f t="shared" si="67"/>
        <v>13855.329935</v>
      </c>
      <c r="AT48" s="120">
        <v>13855.329935</v>
      </c>
      <c r="AU48" s="120"/>
      <c r="AV48" s="120">
        <f t="shared" si="68"/>
        <v>1969.075554</v>
      </c>
      <c r="AW48" s="120">
        <v>1969.075554</v>
      </c>
      <c r="AX48" s="120"/>
      <c r="AY48" s="304">
        <f t="shared" si="40"/>
        <v>0.27763843562279023</v>
      </c>
      <c r="AZ48" s="304">
        <f t="shared" si="40"/>
        <v>0.30806744376693768</v>
      </c>
      <c r="BA48" s="304">
        <f t="shared" si="40"/>
        <v>0.18495134285446274</v>
      </c>
      <c r="BB48" s="304">
        <f t="shared" si="40"/>
        <v>0.38668226604554867</v>
      </c>
      <c r="BC48" s="304">
        <f t="shared" si="40"/>
        <v>0.37778200276344881</v>
      </c>
      <c r="BD48" s="304">
        <f t="shared" si="40"/>
        <v>0.37778200276344881</v>
      </c>
      <c r="BE48" s="304"/>
      <c r="BF48" s="304">
        <f t="shared" si="41"/>
        <v>0.45669767053140098</v>
      </c>
      <c r="BG48" s="304">
        <f t="shared" si="41"/>
        <v>0.45669767053140098</v>
      </c>
      <c r="BH48" s="304"/>
      <c r="BI48" s="304">
        <f t="shared" si="42"/>
        <v>0.22275554210868156</v>
      </c>
      <c r="BJ48" s="304"/>
      <c r="BK48" s="304"/>
      <c r="BL48" s="304"/>
      <c r="BM48" s="304">
        <f t="shared" si="43"/>
        <v>0.22275554210868156</v>
      </c>
      <c r="BN48" s="304">
        <f t="shared" si="43"/>
        <v>0.22275554210868156</v>
      </c>
      <c r="BO48" s="304"/>
      <c r="BP48" s="304">
        <f t="shared" si="44"/>
        <v>0.25002220642419265</v>
      </c>
      <c r="BQ48" s="304">
        <f t="shared" si="44"/>
        <v>0.28473756545417178</v>
      </c>
      <c r="BR48" s="304">
        <f t="shared" si="44"/>
        <v>0.28473756545417178</v>
      </c>
      <c r="BS48" s="304"/>
      <c r="BT48" s="304">
        <f t="shared" si="45"/>
        <v>0.13457323359759432</v>
      </c>
      <c r="BU48" s="304">
        <f t="shared" si="45"/>
        <v>0.13457323359759432</v>
      </c>
      <c r="BV48" s="304"/>
    </row>
    <row r="49" spans="1:77" x14ac:dyDescent="0.25">
      <c r="A49" s="58">
        <v>7</v>
      </c>
      <c r="B49" s="59" t="s">
        <v>164</v>
      </c>
      <c r="C49" s="119">
        <f t="shared" si="19"/>
        <v>62683</v>
      </c>
      <c r="D49" s="120">
        <f t="shared" si="46"/>
        <v>41722</v>
      </c>
      <c r="E49" s="120">
        <f t="shared" si="47"/>
        <v>20961</v>
      </c>
      <c r="F49" s="120">
        <f t="shared" si="48"/>
        <v>15889</v>
      </c>
      <c r="G49" s="120">
        <f t="shared" si="49"/>
        <v>13749</v>
      </c>
      <c r="H49" s="120">
        <v>13749</v>
      </c>
      <c r="I49" s="120"/>
      <c r="J49" s="120">
        <f t="shared" si="50"/>
        <v>2140</v>
      </c>
      <c r="K49" s="120">
        <v>2140</v>
      </c>
      <c r="L49" s="120"/>
      <c r="M49" s="120">
        <f t="shared" si="51"/>
        <v>4949</v>
      </c>
      <c r="N49" s="120">
        <f t="shared" si="52"/>
        <v>0</v>
      </c>
      <c r="O49" s="120">
        <v>0</v>
      </c>
      <c r="P49" s="120"/>
      <c r="Q49" s="120">
        <f t="shared" si="53"/>
        <v>4949</v>
      </c>
      <c r="R49" s="120">
        <v>4949</v>
      </c>
      <c r="S49" s="120"/>
      <c r="T49" s="120">
        <f t="shared" si="54"/>
        <v>41845</v>
      </c>
      <c r="U49" s="120">
        <f t="shared" si="55"/>
        <v>27973</v>
      </c>
      <c r="V49" s="120">
        <v>27973</v>
      </c>
      <c r="W49" s="120"/>
      <c r="X49" s="120">
        <f t="shared" si="56"/>
        <v>13872</v>
      </c>
      <c r="Y49" s="120">
        <v>13872</v>
      </c>
      <c r="Z49" s="120"/>
      <c r="AA49" s="119">
        <f t="shared" si="57"/>
        <v>13927.871707</v>
      </c>
      <c r="AB49" s="120">
        <f t="shared" si="58"/>
        <v>10536.479261</v>
      </c>
      <c r="AC49" s="120">
        <f t="shared" si="59"/>
        <v>3391.3924459999998</v>
      </c>
      <c r="AD49" s="120">
        <f t="shared" si="60"/>
        <v>5404.3976280000006</v>
      </c>
      <c r="AE49" s="120">
        <f t="shared" si="61"/>
        <v>4148.8151280000002</v>
      </c>
      <c r="AF49" s="120">
        <v>4148.8151280000002</v>
      </c>
      <c r="AG49" s="120"/>
      <c r="AH49" s="120">
        <f t="shared" si="62"/>
        <v>1255.5825</v>
      </c>
      <c r="AI49" s="120">
        <v>1255.5825</v>
      </c>
      <c r="AJ49" s="120"/>
      <c r="AK49" s="120">
        <f t="shared" si="63"/>
        <v>596.59319999999991</v>
      </c>
      <c r="AL49" s="120">
        <f t="shared" si="64"/>
        <v>0</v>
      </c>
      <c r="AM49" s="120"/>
      <c r="AN49" s="120"/>
      <c r="AO49" s="120">
        <f t="shared" si="65"/>
        <v>596.59319999999991</v>
      </c>
      <c r="AP49" s="120">
        <v>596.59319999999991</v>
      </c>
      <c r="AQ49" s="120"/>
      <c r="AR49" s="120">
        <f t="shared" si="66"/>
        <v>7926.8808789999994</v>
      </c>
      <c r="AS49" s="120">
        <f t="shared" si="67"/>
        <v>6387.6641329999993</v>
      </c>
      <c r="AT49" s="120">
        <v>6387.6641329999993</v>
      </c>
      <c r="AU49" s="120"/>
      <c r="AV49" s="120">
        <f t="shared" si="68"/>
        <v>1539.2167460000001</v>
      </c>
      <c r="AW49" s="120">
        <v>1539.2167460000001</v>
      </c>
      <c r="AX49" s="120"/>
      <c r="AY49" s="304">
        <f t="shared" si="40"/>
        <v>0.2221953592999697</v>
      </c>
      <c r="AZ49" s="304">
        <f t="shared" si="40"/>
        <v>0.25254012897272421</v>
      </c>
      <c r="BA49" s="304">
        <f t="shared" si="40"/>
        <v>0.1617953554696818</v>
      </c>
      <c r="BB49" s="304">
        <f t="shared" si="40"/>
        <v>0.34013453508716729</v>
      </c>
      <c r="BC49" s="304">
        <f t="shared" si="40"/>
        <v>0.30175395505127645</v>
      </c>
      <c r="BD49" s="304">
        <f t="shared" si="40"/>
        <v>0.30175395505127645</v>
      </c>
      <c r="BE49" s="304"/>
      <c r="BF49" s="304">
        <f t="shared" si="41"/>
        <v>0.58672079439252334</v>
      </c>
      <c r="BG49" s="304">
        <f t="shared" si="41"/>
        <v>0.58672079439252334</v>
      </c>
      <c r="BH49" s="304"/>
      <c r="BI49" s="304">
        <f t="shared" si="42"/>
        <v>0.12054823196605373</v>
      </c>
      <c r="BJ49" s="304"/>
      <c r="BK49" s="304"/>
      <c r="BL49" s="304"/>
      <c r="BM49" s="304">
        <f t="shared" si="43"/>
        <v>0.12054823196605373</v>
      </c>
      <c r="BN49" s="304">
        <f t="shared" si="43"/>
        <v>0.12054823196605373</v>
      </c>
      <c r="BO49" s="304"/>
      <c r="BP49" s="304">
        <f t="shared" si="44"/>
        <v>0.18943436202652644</v>
      </c>
      <c r="BQ49" s="304">
        <f t="shared" si="44"/>
        <v>0.22835105755549992</v>
      </c>
      <c r="BR49" s="304">
        <f t="shared" si="44"/>
        <v>0.22835105755549992</v>
      </c>
      <c r="BS49" s="304"/>
      <c r="BT49" s="304">
        <f t="shared" si="45"/>
        <v>0.11095853128604383</v>
      </c>
      <c r="BU49" s="304">
        <f t="shared" si="45"/>
        <v>0.11095853128604383</v>
      </c>
      <c r="BV49" s="304"/>
    </row>
    <row r="50" spans="1:77" x14ac:dyDescent="0.25">
      <c r="A50" s="58">
        <v>8</v>
      </c>
      <c r="B50" s="59" t="s">
        <v>132</v>
      </c>
      <c r="C50" s="119">
        <f t="shared" si="19"/>
        <v>50532</v>
      </c>
      <c r="D50" s="120">
        <f t="shared" si="46"/>
        <v>35650</v>
      </c>
      <c r="E50" s="120">
        <f t="shared" si="47"/>
        <v>14882</v>
      </c>
      <c r="F50" s="120">
        <f t="shared" si="48"/>
        <v>17700</v>
      </c>
      <c r="G50" s="120">
        <f t="shared" si="49"/>
        <v>15950</v>
      </c>
      <c r="H50" s="120">
        <v>15950</v>
      </c>
      <c r="I50" s="120"/>
      <c r="J50" s="120">
        <f t="shared" si="50"/>
        <v>1750</v>
      </c>
      <c r="K50" s="120">
        <v>1750</v>
      </c>
      <c r="L50" s="120"/>
      <c r="M50" s="120">
        <f t="shared" si="51"/>
        <v>3356</v>
      </c>
      <c r="N50" s="120">
        <f t="shared" si="52"/>
        <v>0</v>
      </c>
      <c r="O50" s="120">
        <v>0</v>
      </c>
      <c r="P50" s="120"/>
      <c r="Q50" s="120">
        <f t="shared" si="53"/>
        <v>3356</v>
      </c>
      <c r="R50" s="120">
        <v>3356</v>
      </c>
      <c r="S50" s="120"/>
      <c r="T50" s="120">
        <f t="shared" si="54"/>
        <v>29476</v>
      </c>
      <c r="U50" s="120">
        <f t="shared" si="55"/>
        <v>19700</v>
      </c>
      <c r="V50" s="120">
        <v>19700</v>
      </c>
      <c r="W50" s="120"/>
      <c r="X50" s="120">
        <f t="shared" si="56"/>
        <v>9776</v>
      </c>
      <c r="Y50" s="120">
        <v>9776</v>
      </c>
      <c r="Z50" s="120"/>
      <c r="AA50" s="119">
        <f t="shared" si="57"/>
        <v>29146.141151</v>
      </c>
      <c r="AB50" s="120">
        <f t="shared" si="58"/>
        <v>27026.669239999999</v>
      </c>
      <c r="AC50" s="120">
        <f t="shared" si="59"/>
        <v>2119.4719110000001</v>
      </c>
      <c r="AD50" s="120">
        <f t="shared" si="60"/>
        <v>14142.882131999999</v>
      </c>
      <c r="AE50" s="120">
        <f t="shared" si="61"/>
        <v>13579.266815999999</v>
      </c>
      <c r="AF50" s="120">
        <v>13579.266815999999</v>
      </c>
      <c r="AG50" s="120"/>
      <c r="AH50" s="120">
        <f t="shared" si="62"/>
        <v>563.61531600000001</v>
      </c>
      <c r="AI50" s="120">
        <v>563.61531600000001</v>
      </c>
      <c r="AJ50" s="120"/>
      <c r="AK50" s="120">
        <f t="shared" si="63"/>
        <v>779.76080000000013</v>
      </c>
      <c r="AL50" s="120">
        <f t="shared" si="64"/>
        <v>0</v>
      </c>
      <c r="AM50" s="120"/>
      <c r="AN50" s="120"/>
      <c r="AO50" s="120">
        <f t="shared" si="65"/>
        <v>779.76080000000013</v>
      </c>
      <c r="AP50" s="120">
        <v>779.76080000000013</v>
      </c>
      <c r="AQ50" s="120"/>
      <c r="AR50" s="120">
        <f t="shared" si="66"/>
        <v>14223.498218999999</v>
      </c>
      <c r="AS50" s="120">
        <f t="shared" si="67"/>
        <v>13447.402424</v>
      </c>
      <c r="AT50" s="120">
        <v>13447.402424</v>
      </c>
      <c r="AU50" s="120"/>
      <c r="AV50" s="120">
        <f t="shared" si="68"/>
        <v>776.09579499999995</v>
      </c>
      <c r="AW50" s="120">
        <v>776.09579499999995</v>
      </c>
      <c r="AX50" s="120"/>
      <c r="AY50" s="304">
        <f t="shared" si="40"/>
        <v>0.57678582187524741</v>
      </c>
      <c r="AZ50" s="304">
        <f t="shared" si="40"/>
        <v>0.75811133913043471</v>
      </c>
      <c r="BA50" s="304">
        <f t="shared" si="40"/>
        <v>0.1424184861577745</v>
      </c>
      <c r="BB50" s="304">
        <f t="shared" si="40"/>
        <v>0.79903288881355927</v>
      </c>
      <c r="BC50" s="304">
        <f t="shared" si="40"/>
        <v>0.85136469065830722</v>
      </c>
      <c r="BD50" s="304">
        <f t="shared" si="40"/>
        <v>0.85136469065830722</v>
      </c>
      <c r="BE50" s="304"/>
      <c r="BF50" s="304">
        <f t="shared" si="41"/>
        <v>0.32206589485714288</v>
      </c>
      <c r="BG50" s="304">
        <f t="shared" si="41"/>
        <v>0.32206589485714288</v>
      </c>
      <c r="BH50" s="304"/>
      <c r="BI50" s="304">
        <f t="shared" si="42"/>
        <v>0.23234827175208586</v>
      </c>
      <c r="BJ50" s="304"/>
      <c r="BK50" s="304"/>
      <c r="BL50" s="304"/>
      <c r="BM50" s="304">
        <f t="shared" si="43"/>
        <v>0.23234827175208586</v>
      </c>
      <c r="BN50" s="304">
        <f t="shared" si="43"/>
        <v>0.23234827175208586</v>
      </c>
      <c r="BO50" s="304"/>
      <c r="BP50" s="304">
        <f t="shared" si="44"/>
        <v>0.48254506103270456</v>
      </c>
      <c r="BQ50" s="304">
        <f t="shared" si="44"/>
        <v>0.68260926010152279</v>
      </c>
      <c r="BR50" s="304">
        <f t="shared" si="44"/>
        <v>0.68260926010152279</v>
      </c>
      <c r="BS50" s="304"/>
      <c r="BT50" s="304">
        <f t="shared" si="45"/>
        <v>7.9387867737315876E-2</v>
      </c>
      <c r="BU50" s="304">
        <f t="shared" si="45"/>
        <v>7.9387867737315876E-2</v>
      </c>
      <c r="BV50" s="304"/>
      <c r="BX50" s="121"/>
    </row>
    <row r="51" spans="1:77" x14ac:dyDescent="0.25">
      <c r="A51" s="58">
        <v>9</v>
      </c>
      <c r="B51" s="59" t="s">
        <v>163</v>
      </c>
      <c r="C51" s="119">
        <f t="shared" si="19"/>
        <v>122922</v>
      </c>
      <c r="D51" s="120">
        <f t="shared" si="46"/>
        <v>104833</v>
      </c>
      <c r="E51" s="120">
        <f t="shared" si="47"/>
        <v>18089</v>
      </c>
      <c r="F51" s="120">
        <f t="shared" si="48"/>
        <v>13205</v>
      </c>
      <c r="G51" s="120">
        <f t="shared" si="49"/>
        <v>11165</v>
      </c>
      <c r="H51" s="120">
        <v>11165</v>
      </c>
      <c r="I51" s="120"/>
      <c r="J51" s="120">
        <f t="shared" si="50"/>
        <v>2040</v>
      </c>
      <c r="K51" s="120">
        <v>2040</v>
      </c>
      <c r="L51" s="120"/>
      <c r="M51" s="120">
        <f t="shared" si="51"/>
        <v>68529</v>
      </c>
      <c r="N51" s="120">
        <f t="shared" si="52"/>
        <v>61186</v>
      </c>
      <c r="O51" s="120">
        <v>61186</v>
      </c>
      <c r="P51" s="120"/>
      <c r="Q51" s="120">
        <f t="shared" si="53"/>
        <v>7343</v>
      </c>
      <c r="R51" s="120">
        <v>7343</v>
      </c>
      <c r="S51" s="120"/>
      <c r="T51" s="120">
        <f t="shared" si="54"/>
        <v>41188</v>
      </c>
      <c r="U51" s="120">
        <f t="shared" si="55"/>
        <v>32482</v>
      </c>
      <c r="V51" s="120">
        <v>32482</v>
      </c>
      <c r="W51" s="120"/>
      <c r="X51" s="120">
        <f t="shared" si="56"/>
        <v>8706</v>
      </c>
      <c r="Y51" s="120">
        <v>8706</v>
      </c>
      <c r="Z51" s="120"/>
      <c r="AA51" s="119">
        <f t="shared" si="57"/>
        <v>10806.253049999999</v>
      </c>
      <c r="AB51" s="120">
        <f t="shared" si="58"/>
        <v>2529.8260000000005</v>
      </c>
      <c r="AC51" s="120">
        <f t="shared" si="59"/>
        <v>8276.4270499999984</v>
      </c>
      <c r="AD51" s="120">
        <f t="shared" si="60"/>
        <v>668.577</v>
      </c>
      <c r="AE51" s="120">
        <f t="shared" si="61"/>
        <v>34.429000000000002</v>
      </c>
      <c r="AF51" s="120">
        <v>34.429000000000002</v>
      </c>
      <c r="AG51" s="120"/>
      <c r="AH51" s="120">
        <f t="shared" si="62"/>
        <v>634.14800000000002</v>
      </c>
      <c r="AI51" s="120">
        <v>634.14800000000002</v>
      </c>
      <c r="AJ51" s="120"/>
      <c r="AK51" s="120">
        <f t="shared" si="63"/>
        <v>5801.8019999999997</v>
      </c>
      <c r="AL51" s="120">
        <f t="shared" si="64"/>
        <v>2300.6170000000002</v>
      </c>
      <c r="AM51" s="120">
        <v>2300.6170000000002</v>
      </c>
      <c r="AN51" s="120"/>
      <c r="AO51" s="120">
        <f t="shared" si="65"/>
        <v>3501.1849999999999</v>
      </c>
      <c r="AP51" s="120">
        <v>3501.1849999999999</v>
      </c>
      <c r="AQ51" s="120"/>
      <c r="AR51" s="120">
        <f t="shared" si="66"/>
        <v>4335.8740499999994</v>
      </c>
      <c r="AS51" s="120">
        <f t="shared" si="67"/>
        <v>194.78</v>
      </c>
      <c r="AT51" s="120">
        <v>194.78</v>
      </c>
      <c r="AU51" s="120"/>
      <c r="AV51" s="120">
        <f t="shared" si="68"/>
        <v>4141.0940499999997</v>
      </c>
      <c r="AW51" s="120">
        <v>4141.0940499999997</v>
      </c>
      <c r="AX51" s="120"/>
      <c r="AY51" s="304">
        <f t="shared" si="40"/>
        <v>8.7911464587299259E-2</v>
      </c>
      <c r="AZ51" s="304">
        <f t="shared" si="40"/>
        <v>2.4131962263790985E-2</v>
      </c>
      <c r="BA51" s="304">
        <f t="shared" si="40"/>
        <v>0.45753922549615778</v>
      </c>
      <c r="BB51" s="304">
        <f t="shared" si="40"/>
        <v>5.0630594471790989E-2</v>
      </c>
      <c r="BC51" s="304">
        <f t="shared" si="40"/>
        <v>3.0836542767577252E-3</v>
      </c>
      <c r="BD51" s="304">
        <f t="shared" si="40"/>
        <v>3.0836542767577252E-3</v>
      </c>
      <c r="BE51" s="304"/>
      <c r="BF51" s="304">
        <f t="shared" si="41"/>
        <v>0.31085686274509805</v>
      </c>
      <c r="BG51" s="304">
        <f t="shared" si="41"/>
        <v>0.31085686274509805</v>
      </c>
      <c r="BH51" s="304"/>
      <c r="BI51" s="304">
        <f t="shared" si="42"/>
        <v>8.4661997110712248E-2</v>
      </c>
      <c r="BJ51" s="304">
        <f t="shared" si="42"/>
        <v>3.760038244042755E-2</v>
      </c>
      <c r="BK51" s="304">
        <f t="shared" si="42"/>
        <v>3.760038244042755E-2</v>
      </c>
      <c r="BL51" s="304"/>
      <c r="BM51" s="304">
        <f t="shared" si="43"/>
        <v>0.47680580144355167</v>
      </c>
      <c r="BN51" s="304">
        <f t="shared" si="43"/>
        <v>0.47680580144355167</v>
      </c>
      <c r="BO51" s="304"/>
      <c r="BP51" s="304">
        <f t="shared" si="44"/>
        <v>0.10527032266679615</v>
      </c>
      <c r="BQ51" s="304">
        <f t="shared" si="44"/>
        <v>5.9965519364571151E-3</v>
      </c>
      <c r="BR51" s="304">
        <f t="shared" si="44"/>
        <v>5.9965519364571151E-3</v>
      </c>
      <c r="BS51" s="304"/>
      <c r="BT51" s="304">
        <f t="shared" si="45"/>
        <v>0.47565978061107278</v>
      </c>
      <c r="BU51" s="304">
        <f t="shared" si="45"/>
        <v>0.47565978061107278</v>
      </c>
      <c r="BV51" s="304"/>
      <c r="BX51" s="121"/>
    </row>
    <row r="52" spans="1:77" x14ac:dyDescent="0.25">
      <c r="A52" s="58">
        <v>10</v>
      </c>
      <c r="B52" s="59" t="s">
        <v>149</v>
      </c>
      <c r="C52" s="119">
        <f t="shared" si="19"/>
        <v>108505</v>
      </c>
      <c r="D52" s="120">
        <f t="shared" si="46"/>
        <v>94426</v>
      </c>
      <c r="E52" s="120">
        <f t="shared" si="47"/>
        <v>14079</v>
      </c>
      <c r="F52" s="120">
        <f t="shared" si="48"/>
        <v>5430</v>
      </c>
      <c r="G52" s="120">
        <f t="shared" si="49"/>
        <v>4290</v>
      </c>
      <c r="H52" s="120">
        <v>4290</v>
      </c>
      <c r="I52" s="120"/>
      <c r="J52" s="120">
        <f t="shared" si="50"/>
        <v>1140</v>
      </c>
      <c r="K52" s="120">
        <v>1140</v>
      </c>
      <c r="L52" s="120"/>
      <c r="M52" s="120">
        <f t="shared" si="51"/>
        <v>68626</v>
      </c>
      <c r="N52" s="120">
        <f t="shared" si="52"/>
        <v>63424</v>
      </c>
      <c r="O52" s="120">
        <v>63424</v>
      </c>
      <c r="P52" s="120"/>
      <c r="Q52" s="120">
        <f t="shared" si="53"/>
        <v>5202</v>
      </c>
      <c r="R52" s="120">
        <v>5202</v>
      </c>
      <c r="S52" s="120"/>
      <c r="T52" s="120">
        <f t="shared" si="54"/>
        <v>34449</v>
      </c>
      <c r="U52" s="120">
        <f t="shared" si="55"/>
        <v>26712</v>
      </c>
      <c r="V52" s="120">
        <v>26712</v>
      </c>
      <c r="W52" s="120"/>
      <c r="X52" s="120">
        <f t="shared" si="56"/>
        <v>7737</v>
      </c>
      <c r="Y52" s="120">
        <v>7737</v>
      </c>
      <c r="Z52" s="120"/>
      <c r="AA52" s="119">
        <f t="shared" si="57"/>
        <v>30085.290723999999</v>
      </c>
      <c r="AB52" s="120">
        <f t="shared" si="58"/>
        <v>28256.2948</v>
      </c>
      <c r="AC52" s="120">
        <f t="shared" si="59"/>
        <v>1828.9959239999998</v>
      </c>
      <c r="AD52" s="120">
        <f t="shared" si="60"/>
        <v>3084.9341979999999</v>
      </c>
      <c r="AE52" s="120">
        <f t="shared" si="61"/>
        <v>2584</v>
      </c>
      <c r="AF52" s="120">
        <v>2584</v>
      </c>
      <c r="AG52" s="120"/>
      <c r="AH52" s="120">
        <f t="shared" si="62"/>
        <v>500.93419799999998</v>
      </c>
      <c r="AI52" s="120">
        <v>500.93419799999998</v>
      </c>
      <c r="AJ52" s="120"/>
      <c r="AK52" s="120">
        <f t="shared" si="63"/>
        <v>17142.179001999997</v>
      </c>
      <c r="AL52" s="120">
        <f t="shared" si="64"/>
        <v>16409.593799999999</v>
      </c>
      <c r="AM52" s="120">
        <v>16409.593799999999</v>
      </c>
      <c r="AN52" s="120"/>
      <c r="AO52" s="120">
        <f t="shared" si="65"/>
        <v>732.58520199999998</v>
      </c>
      <c r="AP52" s="120">
        <v>732.58520199999998</v>
      </c>
      <c r="AQ52" s="120"/>
      <c r="AR52" s="120">
        <f t="shared" si="66"/>
        <v>9858.1775240000006</v>
      </c>
      <c r="AS52" s="120">
        <f t="shared" si="67"/>
        <v>9262.7010000000009</v>
      </c>
      <c r="AT52" s="120">
        <v>9262.7010000000009</v>
      </c>
      <c r="AU52" s="120"/>
      <c r="AV52" s="120">
        <f t="shared" si="68"/>
        <v>595.47652399999993</v>
      </c>
      <c r="AW52" s="120">
        <v>595.47652399999993</v>
      </c>
      <c r="AX52" s="120"/>
      <c r="AY52" s="304">
        <f t="shared" si="40"/>
        <v>0.27727100800884752</v>
      </c>
      <c r="AZ52" s="304">
        <f t="shared" si="40"/>
        <v>0.29924273822887765</v>
      </c>
      <c r="BA52" s="304">
        <f t="shared" si="40"/>
        <v>0.12990950522054123</v>
      </c>
      <c r="BB52" s="304">
        <f t="shared" si="40"/>
        <v>0.56812784493554325</v>
      </c>
      <c r="BC52" s="304">
        <f t="shared" si="40"/>
        <v>0.60233100233100234</v>
      </c>
      <c r="BD52" s="304">
        <f t="shared" si="40"/>
        <v>0.60233100233100234</v>
      </c>
      <c r="BE52" s="304"/>
      <c r="BF52" s="304">
        <f t="shared" si="41"/>
        <v>0.43941596315789472</v>
      </c>
      <c r="BG52" s="304">
        <f t="shared" si="41"/>
        <v>0.43941596315789472</v>
      </c>
      <c r="BH52" s="304"/>
      <c r="BI52" s="304">
        <f t="shared" si="42"/>
        <v>0.24979131818844166</v>
      </c>
      <c r="BJ52" s="304">
        <f t="shared" si="42"/>
        <v>0.25872845925832488</v>
      </c>
      <c r="BK52" s="304">
        <f t="shared" si="42"/>
        <v>0.25872845925832488</v>
      </c>
      <c r="BL52" s="304"/>
      <c r="BM52" s="304">
        <f t="shared" si="43"/>
        <v>0.14082760515186465</v>
      </c>
      <c r="BN52" s="304">
        <f t="shared" si="43"/>
        <v>0.14082760515186465</v>
      </c>
      <c r="BO52" s="304"/>
      <c r="BP52" s="304">
        <f t="shared" si="44"/>
        <v>0.28616730598856283</v>
      </c>
      <c r="BQ52" s="304">
        <f t="shared" si="44"/>
        <v>0.34676179245283023</v>
      </c>
      <c r="BR52" s="304">
        <f t="shared" si="44"/>
        <v>0.34676179245283023</v>
      </c>
      <c r="BS52" s="304"/>
      <c r="BT52" s="304">
        <f t="shared" si="45"/>
        <v>7.6964782732325182E-2</v>
      </c>
      <c r="BU52" s="304">
        <f t="shared" si="45"/>
        <v>7.6964782732325182E-2</v>
      </c>
      <c r="BV52" s="304"/>
    </row>
    <row r="53" spans="1:77" ht="9" customHeight="1" x14ac:dyDescent="0.25">
      <c r="A53" s="60"/>
      <c r="B53" s="137"/>
      <c r="C53" s="122"/>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2"/>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305"/>
      <c r="AZ53" s="305"/>
      <c r="BA53" s="305"/>
      <c r="BB53" s="305"/>
      <c r="BC53" s="305"/>
      <c r="BD53" s="305"/>
      <c r="BE53" s="305"/>
      <c r="BF53" s="305"/>
      <c r="BG53" s="305"/>
      <c r="BH53" s="305"/>
      <c r="BI53" s="123"/>
      <c r="BJ53" s="123"/>
      <c r="BK53" s="123"/>
      <c r="BL53" s="123"/>
      <c r="BM53" s="123"/>
      <c r="BN53" s="123"/>
      <c r="BO53" s="123"/>
      <c r="BP53" s="305"/>
      <c r="BQ53" s="305"/>
      <c r="BR53" s="305"/>
      <c r="BS53" s="305"/>
      <c r="BT53" s="305"/>
      <c r="BU53" s="305"/>
      <c r="BV53" s="306"/>
    </row>
    <row r="55" spans="1:77" s="64" customFormat="1" x14ac:dyDescent="0.25">
      <c r="A55" s="17"/>
      <c r="B55" s="17"/>
      <c r="C55" s="124"/>
      <c r="AA55" s="17"/>
      <c r="AB55" s="17"/>
      <c r="AC55" s="17"/>
      <c r="AD55" s="17"/>
      <c r="AE55" s="17"/>
      <c r="AF55" s="17"/>
      <c r="AG55" s="17"/>
      <c r="AH55" s="17"/>
      <c r="AI55" s="17"/>
      <c r="AJ55" s="17"/>
      <c r="AK55" s="17"/>
      <c r="AL55" s="17"/>
      <c r="AM55" s="17"/>
      <c r="AN55" s="17"/>
      <c r="AO55" s="17"/>
      <c r="AP55" s="17"/>
      <c r="AQ55" s="17"/>
      <c r="AY55" s="17"/>
      <c r="AZ55" s="17"/>
      <c r="BA55" s="17"/>
      <c r="BB55" s="17"/>
      <c r="BC55" s="17"/>
      <c r="BD55" s="17"/>
      <c r="BE55" s="17"/>
      <c r="BF55" s="17"/>
      <c r="BG55" s="17"/>
      <c r="BH55" s="17"/>
      <c r="BP55" s="17"/>
      <c r="BQ55" s="17"/>
      <c r="BR55" s="17"/>
      <c r="BS55" s="17"/>
      <c r="BT55" s="17"/>
      <c r="BU55" s="17"/>
      <c r="BV55" s="17"/>
      <c r="BW55" s="17"/>
      <c r="BX55" s="17"/>
      <c r="BY55" s="17"/>
    </row>
  </sheetData>
  <mergeCells count="61">
    <mergeCell ref="AS9:AU9"/>
    <mergeCell ref="BT9:BV9"/>
    <mergeCell ref="BF9:BH9"/>
    <mergeCell ref="BI9:BI10"/>
    <mergeCell ref="BJ9:BL9"/>
    <mergeCell ref="BM9:BO9"/>
    <mergeCell ref="BP9:BP10"/>
    <mergeCell ref="BQ9:BS9"/>
    <mergeCell ref="AH9:AJ9"/>
    <mergeCell ref="AK9:AK10"/>
    <mergeCell ref="AL9:AN9"/>
    <mergeCell ref="AO9:AQ9"/>
    <mergeCell ref="AR9:AR10"/>
    <mergeCell ref="X9:Z9"/>
    <mergeCell ref="AB9:AB10"/>
    <mergeCell ref="AC9:AC10"/>
    <mergeCell ref="AD9:AD10"/>
    <mergeCell ref="AE9:AG9"/>
    <mergeCell ref="D9:D10"/>
    <mergeCell ref="E9:E10"/>
    <mergeCell ref="F9:F10"/>
    <mergeCell ref="G9:I9"/>
    <mergeCell ref="J9:L9"/>
    <mergeCell ref="M9:M10"/>
    <mergeCell ref="AR8:AX8"/>
    <mergeCell ref="AY8:AY10"/>
    <mergeCell ref="AZ8:BA8"/>
    <mergeCell ref="BB8:BH8"/>
    <mergeCell ref="M8:S8"/>
    <mergeCell ref="T8:Z8"/>
    <mergeCell ref="AA8:AA10"/>
    <mergeCell ref="AB8:AC8"/>
    <mergeCell ref="AD8:AJ8"/>
    <mergeCell ref="AK8:AQ8"/>
    <mergeCell ref="N9:P9"/>
    <mergeCell ref="Q9:S9"/>
    <mergeCell ref="T9:T10"/>
    <mergeCell ref="U9:W9"/>
    <mergeCell ref="AV9:AX9"/>
    <mergeCell ref="A4:BV4"/>
    <mergeCell ref="BU6:BV6"/>
    <mergeCell ref="A7:A10"/>
    <mergeCell ref="B7:B10"/>
    <mergeCell ref="C7:Z7"/>
    <mergeCell ref="AA7:AX7"/>
    <mergeCell ref="AY7:BV7"/>
    <mergeCell ref="C8:C10"/>
    <mergeCell ref="D8:E8"/>
    <mergeCell ref="F8:L8"/>
    <mergeCell ref="BI8:BO8"/>
    <mergeCell ref="BP8:BV8"/>
    <mergeCell ref="AZ9:AZ10"/>
    <mergeCell ref="BA9:BA10"/>
    <mergeCell ref="BB9:BB10"/>
    <mergeCell ref="BC9:BE9"/>
    <mergeCell ref="A3:BV3"/>
    <mergeCell ref="A1:B1"/>
    <mergeCell ref="Q1:S1"/>
    <mergeCell ref="X1:Z1"/>
    <mergeCell ref="AV1:AX1"/>
    <mergeCell ref="BM1:BO1"/>
  </mergeCells>
  <pageMargins left="0" right="0" top="0" bottom="0" header="0.31496062992125984" footer="0.31496062992125984"/>
  <pageSetup paperSize="9" scale="2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M109"/>
  <sheetViews>
    <sheetView workbookViewId="0">
      <selection activeCell="H21" sqref="H21"/>
    </sheetView>
  </sheetViews>
  <sheetFormatPr defaultColWidth="9.140625" defaultRowHeight="15" outlineLevelRow="1" x14ac:dyDescent="0.25"/>
  <cols>
    <col min="1" max="1" width="9.140625" style="126"/>
    <col min="2" max="2" width="38.140625" style="126" customWidth="1"/>
    <col min="3" max="3" width="11.85546875" style="126" customWidth="1"/>
    <col min="4" max="4" width="10.7109375" style="126" customWidth="1"/>
    <col min="5" max="5" width="11" style="126" customWidth="1"/>
    <col min="6" max="6" width="10" style="126" bestFit="1" customWidth="1"/>
    <col min="7" max="8" width="11.28515625" style="126" bestFit="1" customWidth="1"/>
    <col min="9" max="9" width="11.42578125" style="126" bestFit="1" customWidth="1"/>
    <col min="10" max="11" width="9.140625" style="126"/>
    <col min="12" max="12" width="11" style="166" customWidth="1"/>
    <col min="13" max="13" width="10.140625" style="126" bestFit="1" customWidth="1"/>
    <col min="14" max="16384" width="9.140625" style="126"/>
  </cols>
  <sheetData>
    <row r="1" spans="1:13" x14ac:dyDescent="0.25">
      <c r="A1" s="125" t="s">
        <v>487</v>
      </c>
      <c r="C1" s="141"/>
      <c r="D1" s="141"/>
      <c r="E1" s="141"/>
      <c r="F1" s="141"/>
      <c r="G1" s="141"/>
      <c r="H1" s="141"/>
    </row>
    <row r="2" spans="1:13" ht="33" customHeight="1" x14ac:dyDescent="0.25">
      <c r="A2" s="348" t="s">
        <v>488</v>
      </c>
      <c r="B2" s="348"/>
      <c r="C2" s="348"/>
      <c r="D2" s="348"/>
      <c r="E2" s="348"/>
      <c r="F2" s="348"/>
      <c r="G2" s="348"/>
      <c r="H2" s="348"/>
      <c r="I2" s="348"/>
      <c r="J2" s="348"/>
      <c r="K2" s="348"/>
    </row>
    <row r="3" spans="1:13" ht="15.75" customHeight="1" x14ac:dyDescent="0.25">
      <c r="A3" s="361" t="s">
        <v>489</v>
      </c>
      <c r="B3" s="361"/>
      <c r="C3" s="361"/>
      <c r="D3" s="361"/>
      <c r="E3" s="361"/>
      <c r="F3" s="361"/>
      <c r="G3" s="361"/>
      <c r="H3" s="361"/>
      <c r="I3" s="361"/>
      <c r="J3" s="361"/>
      <c r="K3" s="361"/>
    </row>
    <row r="4" spans="1:13" x14ac:dyDescent="0.2">
      <c r="G4" s="167">
        <f>G8+'[1]Bieu 59'!K10</f>
        <v>8083350.3535740012</v>
      </c>
      <c r="J4" s="362" t="s">
        <v>490</v>
      </c>
      <c r="K4" s="362"/>
    </row>
    <row r="5" spans="1:13" x14ac:dyDescent="0.25">
      <c r="A5" s="338" t="s">
        <v>2</v>
      </c>
      <c r="B5" s="338" t="s">
        <v>385</v>
      </c>
      <c r="C5" s="338" t="s">
        <v>491</v>
      </c>
      <c r="D5" s="338" t="s">
        <v>197</v>
      </c>
      <c r="E5" s="338"/>
      <c r="F5" s="338" t="s">
        <v>108</v>
      </c>
      <c r="G5" s="338" t="s">
        <v>197</v>
      </c>
      <c r="H5" s="338"/>
      <c r="I5" s="338" t="s">
        <v>109</v>
      </c>
      <c r="J5" s="338"/>
      <c r="K5" s="338"/>
      <c r="L5" s="167"/>
    </row>
    <row r="6" spans="1:13" ht="45.75" customHeight="1" x14ac:dyDescent="0.25">
      <c r="A6" s="338"/>
      <c r="B6" s="338"/>
      <c r="C6" s="338"/>
      <c r="D6" s="69" t="s">
        <v>386</v>
      </c>
      <c r="E6" s="69" t="s">
        <v>387</v>
      </c>
      <c r="F6" s="338"/>
      <c r="G6" s="69" t="s">
        <v>386</v>
      </c>
      <c r="H6" s="69" t="s">
        <v>387</v>
      </c>
      <c r="I6" s="69" t="s">
        <v>200</v>
      </c>
      <c r="J6" s="69" t="s">
        <v>198</v>
      </c>
      <c r="K6" s="69" t="s">
        <v>199</v>
      </c>
    </row>
    <row r="7" spans="1:13" x14ac:dyDescent="0.25">
      <c r="A7" s="69" t="s">
        <v>7</v>
      </c>
      <c r="B7" s="69" t="s">
        <v>8</v>
      </c>
      <c r="C7" s="69" t="s">
        <v>60</v>
      </c>
      <c r="D7" s="69">
        <v>2</v>
      </c>
      <c r="E7" s="69">
        <v>3</v>
      </c>
      <c r="F7" s="69" t="s">
        <v>61</v>
      </c>
      <c r="G7" s="69">
        <v>5</v>
      </c>
      <c r="H7" s="69">
        <v>6</v>
      </c>
      <c r="I7" s="69" t="s">
        <v>62</v>
      </c>
      <c r="J7" s="69" t="s">
        <v>63</v>
      </c>
      <c r="K7" s="69" t="s">
        <v>64</v>
      </c>
      <c r="L7" s="167"/>
    </row>
    <row r="8" spans="1:13" x14ac:dyDescent="0.25">
      <c r="A8" s="168"/>
      <c r="B8" s="169" t="s">
        <v>20</v>
      </c>
      <c r="C8" s="141">
        <v>7842265</v>
      </c>
      <c r="D8" s="141">
        <v>4509987</v>
      </c>
      <c r="E8" s="141">
        <v>3332278</v>
      </c>
      <c r="F8" s="141">
        <v>10351562.723144002</v>
      </c>
      <c r="G8" s="141">
        <v>5542789.7384740012</v>
      </c>
      <c r="H8" s="141">
        <v>4808772.9846700011</v>
      </c>
      <c r="I8" s="170">
        <f t="shared" ref="I8:K23" si="0">IF(C8=0,0,F8/C8*100)</f>
        <v>131.99710444806445</v>
      </c>
      <c r="J8" s="170">
        <f t="shared" si="0"/>
        <v>122.90034845940801</v>
      </c>
      <c r="K8" s="170">
        <f t="shared" si="0"/>
        <v>144.30887773078959</v>
      </c>
      <c r="L8" s="167"/>
      <c r="M8" s="127"/>
    </row>
    <row r="9" spans="1:13" ht="25.5" x14ac:dyDescent="0.25">
      <c r="A9" s="158" t="s">
        <v>7</v>
      </c>
      <c r="B9" s="151" t="s">
        <v>240</v>
      </c>
      <c r="C9" s="142">
        <v>6401125</v>
      </c>
      <c r="D9" s="171">
        <v>3132417</v>
      </c>
      <c r="E9" s="171">
        <v>3268708</v>
      </c>
      <c r="F9" s="171">
        <v>6127441.0491620013</v>
      </c>
      <c r="G9" s="171">
        <v>2364471.4028450004</v>
      </c>
      <c r="H9" s="171">
        <v>3762969.4463170003</v>
      </c>
      <c r="I9" s="172">
        <f t="shared" si="0"/>
        <v>95.724439831467151</v>
      </c>
      <c r="J9" s="172">
        <f t="shared" si="0"/>
        <v>75.483928316217174</v>
      </c>
      <c r="K9" s="172">
        <f t="shared" si="0"/>
        <v>115.12100335413871</v>
      </c>
      <c r="L9" s="167"/>
      <c r="M9" s="127"/>
    </row>
    <row r="10" spans="1:13" x14ac:dyDescent="0.25">
      <c r="A10" s="158" t="s">
        <v>241</v>
      </c>
      <c r="B10" s="151" t="s">
        <v>65</v>
      </c>
      <c r="C10" s="142">
        <v>6317225</v>
      </c>
      <c r="D10" s="171">
        <v>3048517</v>
      </c>
      <c r="E10" s="171">
        <v>3268708</v>
      </c>
      <c r="F10" s="171">
        <v>6108163.536065001</v>
      </c>
      <c r="G10" s="171">
        <v>2345193.8897480005</v>
      </c>
      <c r="H10" s="171">
        <v>3762969.4463170003</v>
      </c>
      <c r="I10" s="172">
        <f t="shared" si="0"/>
        <v>96.690612350596993</v>
      </c>
      <c r="J10" s="172">
        <f t="shared" si="0"/>
        <v>76.929008096330136</v>
      </c>
      <c r="K10" s="172">
        <f t="shared" si="0"/>
        <v>115.12100335413871</v>
      </c>
      <c r="L10" s="167"/>
      <c r="M10" s="127"/>
    </row>
    <row r="11" spans="1:13" x14ac:dyDescent="0.25">
      <c r="A11" s="156" t="s">
        <v>39</v>
      </c>
      <c r="B11" s="157" t="s">
        <v>21</v>
      </c>
      <c r="C11" s="142">
        <v>902220</v>
      </c>
      <c r="D11" s="142">
        <v>513733</v>
      </c>
      <c r="E11" s="142">
        <v>388487</v>
      </c>
      <c r="F11" s="171">
        <v>1257560.1399480002</v>
      </c>
      <c r="G11" s="173">
        <v>563651.5</v>
      </c>
      <c r="H11" s="173">
        <v>693908.63994800032</v>
      </c>
      <c r="I11" s="172">
        <f t="shared" si="0"/>
        <v>139.38508788854162</v>
      </c>
      <c r="J11" s="172">
        <f t="shared" si="0"/>
        <v>109.71681788010503</v>
      </c>
      <c r="K11" s="172">
        <f t="shared" si="0"/>
        <v>178.61823946438372</v>
      </c>
      <c r="L11" s="167"/>
      <c r="M11" s="127"/>
    </row>
    <row r="12" spans="1:13" hidden="1" outlineLevel="1" x14ac:dyDescent="0.25">
      <c r="A12" s="154">
        <v>1</v>
      </c>
      <c r="B12" s="155" t="s">
        <v>433</v>
      </c>
      <c r="C12" s="174">
        <v>902220</v>
      </c>
      <c r="D12" s="120">
        <v>513733</v>
      </c>
      <c r="E12" s="120">
        <v>388487</v>
      </c>
      <c r="F12" s="175">
        <v>1240117.6859480003</v>
      </c>
      <c r="G12" s="165">
        <v>554055.5</v>
      </c>
      <c r="H12" s="165">
        <v>686062.18594800029</v>
      </c>
      <c r="I12" s="176">
        <f t="shared" si="0"/>
        <v>137.45180620558182</v>
      </c>
      <c r="J12" s="176">
        <f t="shared" si="0"/>
        <v>107.84892152149072</v>
      </c>
      <c r="K12" s="176">
        <f t="shared" si="0"/>
        <v>176.59849260026726</v>
      </c>
      <c r="L12" s="167"/>
      <c r="M12" s="127"/>
    </row>
    <row r="13" spans="1:13" s="185" customFormat="1" hidden="1" outlineLevel="1" x14ac:dyDescent="0.25">
      <c r="A13" s="177"/>
      <c r="B13" s="178" t="s">
        <v>434</v>
      </c>
      <c r="C13" s="179">
        <v>0</v>
      </c>
      <c r="D13" s="180"/>
      <c r="E13" s="180">
        <v>0</v>
      </c>
      <c r="F13" s="177"/>
      <c r="G13" s="181"/>
      <c r="H13" s="181"/>
      <c r="I13" s="182">
        <f t="shared" si="0"/>
        <v>0</v>
      </c>
      <c r="J13" s="182">
        <f t="shared" si="0"/>
        <v>0</v>
      </c>
      <c r="K13" s="182">
        <f t="shared" si="0"/>
        <v>0</v>
      </c>
      <c r="L13" s="183"/>
      <c r="M13" s="184"/>
    </row>
    <row r="14" spans="1:13" s="185" customFormat="1" hidden="1" outlineLevel="1" x14ac:dyDescent="0.25">
      <c r="A14" s="177" t="s">
        <v>12</v>
      </c>
      <c r="B14" s="178" t="s">
        <v>67</v>
      </c>
      <c r="C14" s="179">
        <v>121011</v>
      </c>
      <c r="D14" s="180">
        <v>41847.006000000001</v>
      </c>
      <c r="E14" s="180">
        <v>79163.994000000006</v>
      </c>
      <c r="F14" s="186">
        <v>177791.79907199999</v>
      </c>
      <c r="G14" s="181">
        <v>46781.483200000002</v>
      </c>
      <c r="H14" s="181">
        <v>131010.31587199999</v>
      </c>
      <c r="I14" s="182">
        <f t="shared" si="0"/>
        <v>146.92201458710366</v>
      </c>
      <c r="J14" s="182">
        <f t="shared" si="0"/>
        <v>111.79170906515989</v>
      </c>
      <c r="K14" s="182">
        <f t="shared" si="0"/>
        <v>165.49230180579315</v>
      </c>
      <c r="L14" s="183"/>
      <c r="M14" s="184"/>
    </row>
    <row r="15" spans="1:13" s="185" customFormat="1" hidden="1" outlineLevel="1" x14ac:dyDescent="0.25">
      <c r="A15" s="177" t="s">
        <v>12</v>
      </c>
      <c r="B15" s="178" t="s">
        <v>435</v>
      </c>
      <c r="C15" s="179">
        <v>27508.376</v>
      </c>
      <c r="D15" s="180">
        <v>27508.376</v>
      </c>
      <c r="E15" s="180">
        <v>0</v>
      </c>
      <c r="F15" s="186">
        <v>17646.610184000001</v>
      </c>
      <c r="G15" s="181">
        <v>17646.610184000001</v>
      </c>
      <c r="H15" s="181">
        <v>0</v>
      </c>
      <c r="I15" s="182">
        <f t="shared" si="0"/>
        <v>64.149952668961632</v>
      </c>
      <c r="J15" s="182">
        <f t="shared" si="0"/>
        <v>64.149952668961632</v>
      </c>
      <c r="K15" s="182">
        <f t="shared" si="0"/>
        <v>0</v>
      </c>
      <c r="L15" s="183"/>
      <c r="M15" s="184"/>
    </row>
    <row r="16" spans="1:13" s="185" customFormat="1" hidden="1" outlineLevel="1" x14ac:dyDescent="0.25">
      <c r="A16" s="177"/>
      <c r="B16" s="178" t="s">
        <v>201</v>
      </c>
      <c r="C16" s="179">
        <v>0</v>
      </c>
      <c r="D16" s="180"/>
      <c r="E16" s="180">
        <v>0</v>
      </c>
      <c r="F16" s="177"/>
      <c r="G16" s="181"/>
      <c r="H16" s="181"/>
      <c r="I16" s="182">
        <f t="shared" si="0"/>
        <v>0</v>
      </c>
      <c r="J16" s="182">
        <f t="shared" si="0"/>
        <v>0</v>
      </c>
      <c r="K16" s="182">
        <f t="shared" si="0"/>
        <v>0</v>
      </c>
      <c r="L16" s="183"/>
      <c r="M16" s="184"/>
    </row>
    <row r="17" spans="1:13" s="185" customFormat="1" hidden="1" outlineLevel="1" x14ac:dyDescent="0.25">
      <c r="A17" s="177" t="s">
        <v>12</v>
      </c>
      <c r="B17" s="178" t="s">
        <v>69</v>
      </c>
      <c r="C17" s="179">
        <v>296116</v>
      </c>
      <c r="D17" s="180">
        <v>115220</v>
      </c>
      <c r="E17" s="180">
        <v>180896</v>
      </c>
      <c r="F17" s="186">
        <v>500636.99800000002</v>
      </c>
      <c r="G17" s="181">
        <v>173359.17800000001</v>
      </c>
      <c r="H17" s="181">
        <v>327277.82</v>
      </c>
      <c r="I17" s="182">
        <f t="shared" si="0"/>
        <v>169.06786462062166</v>
      </c>
      <c r="J17" s="182">
        <f t="shared" si="0"/>
        <v>150.45927616733209</v>
      </c>
      <c r="K17" s="182">
        <f t="shared" si="0"/>
        <v>180.92042941800815</v>
      </c>
      <c r="L17" s="183"/>
      <c r="M17" s="184"/>
    </row>
    <row r="18" spans="1:13" s="185" customFormat="1" hidden="1" outlineLevel="1" x14ac:dyDescent="0.25">
      <c r="A18" s="177" t="s">
        <v>12</v>
      </c>
      <c r="B18" s="178" t="s">
        <v>70</v>
      </c>
      <c r="C18" s="179">
        <v>90000</v>
      </c>
      <c r="D18" s="180">
        <v>80290</v>
      </c>
      <c r="E18" s="180">
        <v>9710</v>
      </c>
      <c r="F18" s="186">
        <v>95334.849699999992</v>
      </c>
      <c r="G18" s="181">
        <v>95334.849699999992</v>
      </c>
      <c r="H18" s="181">
        <v>0</v>
      </c>
      <c r="I18" s="182">
        <f t="shared" si="0"/>
        <v>105.92761077777777</v>
      </c>
      <c r="J18" s="182">
        <f t="shared" si="0"/>
        <v>118.73813638062025</v>
      </c>
      <c r="K18" s="182">
        <f t="shared" si="0"/>
        <v>0</v>
      </c>
      <c r="L18" s="183"/>
      <c r="M18" s="184"/>
    </row>
    <row r="19" spans="1:13" ht="63.75" hidden="1" outlineLevel="1" x14ac:dyDescent="0.25">
      <c r="A19" s="154">
        <v>2</v>
      </c>
      <c r="B19" s="155" t="s">
        <v>202</v>
      </c>
      <c r="C19" s="174">
        <v>3884</v>
      </c>
      <c r="D19" s="174">
        <v>3884</v>
      </c>
      <c r="E19" s="120">
        <v>0</v>
      </c>
      <c r="F19" s="174">
        <v>9596</v>
      </c>
      <c r="G19" s="174">
        <v>9596</v>
      </c>
      <c r="H19" s="174">
        <v>0</v>
      </c>
      <c r="I19" s="176">
        <f t="shared" si="0"/>
        <v>247.06488156539649</v>
      </c>
      <c r="J19" s="176">
        <f t="shared" si="0"/>
        <v>247.06488156539649</v>
      </c>
      <c r="K19" s="176">
        <f t="shared" si="0"/>
        <v>0</v>
      </c>
      <c r="L19" s="167"/>
      <c r="M19" s="127"/>
    </row>
    <row r="20" spans="1:13" hidden="1" outlineLevel="1" x14ac:dyDescent="0.25">
      <c r="A20" s="154">
        <v>3</v>
      </c>
      <c r="B20" s="155" t="s">
        <v>71</v>
      </c>
      <c r="C20" s="174">
        <v>0</v>
      </c>
      <c r="D20" s="174">
        <v>0</v>
      </c>
      <c r="E20" s="120">
        <v>0</v>
      </c>
      <c r="F20" s="174">
        <v>7846.4539999999997</v>
      </c>
      <c r="G20" s="174"/>
      <c r="H20" s="174">
        <v>7846.4539999999997</v>
      </c>
      <c r="I20" s="176">
        <f t="shared" si="0"/>
        <v>0</v>
      </c>
      <c r="J20" s="176">
        <f t="shared" si="0"/>
        <v>0</v>
      </c>
      <c r="K20" s="176">
        <f t="shared" si="0"/>
        <v>0</v>
      </c>
      <c r="L20" s="167"/>
      <c r="M20" s="127"/>
    </row>
    <row r="21" spans="1:13" s="125" customFormat="1" collapsed="1" x14ac:dyDescent="0.25">
      <c r="A21" s="158" t="s">
        <v>25</v>
      </c>
      <c r="B21" s="151" t="s">
        <v>22</v>
      </c>
      <c r="C21" s="142">
        <v>4457168</v>
      </c>
      <c r="D21" s="142">
        <v>1636507</v>
      </c>
      <c r="E21" s="142">
        <v>2820661</v>
      </c>
      <c r="F21" s="142">
        <v>4776892.6441170005</v>
      </c>
      <c r="G21" s="142">
        <v>1707831.8377480002</v>
      </c>
      <c r="H21" s="142">
        <v>3069060.8063690001</v>
      </c>
      <c r="I21" s="172">
        <f t="shared" si="0"/>
        <v>107.17326885854428</v>
      </c>
      <c r="J21" s="172">
        <f t="shared" si="0"/>
        <v>104.35835824399165</v>
      </c>
      <c r="K21" s="172">
        <f t="shared" si="0"/>
        <v>108.80643956749853</v>
      </c>
      <c r="L21" s="167"/>
      <c r="M21" s="127"/>
    </row>
    <row r="22" spans="1:13" x14ac:dyDescent="0.25">
      <c r="A22" s="148"/>
      <c r="B22" s="178" t="s">
        <v>72</v>
      </c>
      <c r="C22" s="142">
        <v>0</v>
      </c>
      <c r="D22" s="174"/>
      <c r="E22" s="174"/>
      <c r="F22" s="174"/>
      <c r="G22" s="174"/>
      <c r="H22" s="174"/>
      <c r="I22" s="176">
        <f t="shared" si="0"/>
        <v>0</v>
      </c>
      <c r="J22" s="176">
        <f t="shared" si="0"/>
        <v>0</v>
      </c>
      <c r="K22" s="176">
        <f t="shared" si="0"/>
        <v>0</v>
      </c>
      <c r="L22" s="167"/>
      <c r="M22" s="127"/>
    </row>
    <row r="23" spans="1:13" s="185" customFormat="1" x14ac:dyDescent="0.25">
      <c r="A23" s="177">
        <v>1</v>
      </c>
      <c r="B23" s="178" t="s">
        <v>67</v>
      </c>
      <c r="C23" s="179">
        <v>1973977</v>
      </c>
      <c r="D23" s="179">
        <v>385819</v>
      </c>
      <c r="E23" s="179">
        <v>1588158</v>
      </c>
      <c r="F23" s="179">
        <v>2097483.4695000001</v>
      </c>
      <c r="G23" s="179">
        <v>408469.44099999999</v>
      </c>
      <c r="H23" s="179">
        <v>1689014.0285000002</v>
      </c>
      <c r="I23" s="182">
        <f t="shared" si="0"/>
        <v>106.25673295585511</v>
      </c>
      <c r="J23" s="182">
        <f t="shared" si="0"/>
        <v>105.87074275761432</v>
      </c>
      <c r="K23" s="182">
        <f t="shared" si="0"/>
        <v>106.35050344487138</v>
      </c>
      <c r="L23" s="183"/>
      <c r="M23" s="184"/>
    </row>
    <row r="24" spans="1:13" s="185" customFormat="1" x14ac:dyDescent="0.25">
      <c r="A24" s="177">
        <v>2</v>
      </c>
      <c r="B24" s="178" t="s">
        <v>68</v>
      </c>
      <c r="C24" s="179">
        <v>16442</v>
      </c>
      <c r="D24" s="179">
        <v>14942</v>
      </c>
      <c r="E24" s="179">
        <v>1500</v>
      </c>
      <c r="F24" s="186">
        <v>8845.6528870000002</v>
      </c>
      <c r="G24" s="179">
        <v>7464.5960569999997</v>
      </c>
      <c r="H24" s="179">
        <v>1381.0568300000004</v>
      </c>
      <c r="I24" s="182">
        <f t="shared" ref="I24:K107" si="1">IF(C24=0,0,F24/C24*100)</f>
        <v>53.799129588857809</v>
      </c>
      <c r="J24" s="182">
        <f t="shared" si="1"/>
        <v>49.95714132646232</v>
      </c>
      <c r="K24" s="182">
        <f t="shared" si="1"/>
        <v>92.070455333333371</v>
      </c>
      <c r="L24" s="183"/>
      <c r="M24" s="184"/>
    </row>
    <row r="25" spans="1:13" s="125" customFormat="1" ht="25.5" x14ac:dyDescent="0.25">
      <c r="A25" s="158" t="s">
        <v>29</v>
      </c>
      <c r="B25" s="151" t="s">
        <v>231</v>
      </c>
      <c r="C25" s="142">
        <v>2000</v>
      </c>
      <c r="D25" s="142">
        <v>2000</v>
      </c>
      <c r="E25" s="142">
        <v>0</v>
      </c>
      <c r="F25" s="142">
        <v>9500.851999999999</v>
      </c>
      <c r="G25" s="142">
        <v>9500.851999999999</v>
      </c>
      <c r="H25" s="142">
        <v>0</v>
      </c>
      <c r="I25" s="172">
        <f t="shared" si="1"/>
        <v>475.04259999999994</v>
      </c>
      <c r="J25" s="172">
        <f t="shared" si="1"/>
        <v>475.04259999999994</v>
      </c>
      <c r="K25" s="172">
        <f t="shared" si="1"/>
        <v>0</v>
      </c>
      <c r="L25" s="167"/>
      <c r="M25" s="127"/>
    </row>
    <row r="26" spans="1:13" s="125" customFormat="1" x14ac:dyDescent="0.25">
      <c r="A26" s="158" t="s">
        <v>56</v>
      </c>
      <c r="B26" s="151" t="s">
        <v>23</v>
      </c>
      <c r="C26" s="142">
        <v>1000</v>
      </c>
      <c r="D26" s="142">
        <v>1000</v>
      </c>
      <c r="E26" s="142">
        <v>0</v>
      </c>
      <c r="F26" s="142">
        <v>1000</v>
      </c>
      <c r="G26" s="142">
        <v>1000</v>
      </c>
      <c r="H26" s="142">
        <v>0</v>
      </c>
      <c r="I26" s="172">
        <f t="shared" si="1"/>
        <v>100</v>
      </c>
      <c r="J26" s="172">
        <f t="shared" si="1"/>
        <v>100</v>
      </c>
      <c r="K26" s="172">
        <f t="shared" si="1"/>
        <v>0</v>
      </c>
      <c r="L26" s="167"/>
      <c r="M26" s="127"/>
    </row>
    <row r="27" spans="1:13" s="125" customFormat="1" x14ac:dyDescent="0.25">
      <c r="A27" s="158" t="s">
        <v>73</v>
      </c>
      <c r="B27" s="151" t="s">
        <v>24</v>
      </c>
      <c r="C27" s="142">
        <v>126345</v>
      </c>
      <c r="D27" s="142">
        <v>66785</v>
      </c>
      <c r="E27" s="142">
        <v>59560</v>
      </c>
      <c r="F27" s="142"/>
      <c r="G27" s="142"/>
      <c r="H27" s="142"/>
      <c r="I27" s="172">
        <f t="shared" si="1"/>
        <v>0</v>
      </c>
      <c r="J27" s="172">
        <f t="shared" si="1"/>
        <v>0</v>
      </c>
      <c r="K27" s="172">
        <f t="shared" si="1"/>
        <v>0</v>
      </c>
      <c r="L27" s="167"/>
      <c r="M27" s="127"/>
    </row>
    <row r="28" spans="1:13" s="125" customFormat="1" ht="76.5" x14ac:dyDescent="0.25">
      <c r="A28" s="156" t="s">
        <v>74</v>
      </c>
      <c r="B28" s="157" t="s">
        <v>436</v>
      </c>
      <c r="C28" s="142">
        <v>789492</v>
      </c>
      <c r="D28" s="142">
        <v>789492</v>
      </c>
      <c r="E28" s="142">
        <v>0</v>
      </c>
      <c r="F28" s="142">
        <v>51310</v>
      </c>
      <c r="G28" s="142">
        <v>51310</v>
      </c>
      <c r="H28" s="142">
        <v>0</v>
      </c>
      <c r="I28" s="172"/>
      <c r="J28" s="172">
        <f t="shared" si="1"/>
        <v>6.4991158871780836</v>
      </c>
      <c r="K28" s="172"/>
      <c r="L28" s="167"/>
      <c r="M28" s="127"/>
    </row>
    <row r="29" spans="1:13" s="125" customFormat="1" x14ac:dyDescent="0.25">
      <c r="A29" s="156" t="s">
        <v>383</v>
      </c>
      <c r="B29" s="157" t="s">
        <v>425</v>
      </c>
      <c r="C29" s="142">
        <v>39000</v>
      </c>
      <c r="D29" s="142">
        <v>39000</v>
      </c>
      <c r="E29" s="142">
        <v>0</v>
      </c>
      <c r="F29" s="187">
        <v>0</v>
      </c>
      <c r="G29" s="164">
        <v>0</v>
      </c>
      <c r="H29" s="164">
        <v>0</v>
      </c>
      <c r="I29" s="172">
        <f t="shared" si="1"/>
        <v>0</v>
      </c>
      <c r="J29" s="172">
        <f t="shared" si="1"/>
        <v>0</v>
      </c>
      <c r="K29" s="172">
        <f t="shared" si="1"/>
        <v>0</v>
      </c>
      <c r="L29" s="167"/>
      <c r="M29" s="127"/>
    </row>
    <row r="30" spans="1:13" s="125" customFormat="1" x14ac:dyDescent="0.25">
      <c r="A30" s="156" t="s">
        <v>384</v>
      </c>
      <c r="B30" s="157" t="s">
        <v>437</v>
      </c>
      <c r="C30" s="142">
        <v>0</v>
      </c>
      <c r="D30" s="142"/>
      <c r="E30" s="142">
        <v>0</v>
      </c>
      <c r="F30" s="187">
        <v>11899.7</v>
      </c>
      <c r="G30" s="164">
        <v>11899.7</v>
      </c>
      <c r="H30" s="164">
        <v>0</v>
      </c>
      <c r="I30" s="172">
        <f t="shared" si="1"/>
        <v>0</v>
      </c>
      <c r="J30" s="172">
        <f t="shared" si="1"/>
        <v>0</v>
      </c>
      <c r="K30" s="172">
        <f t="shared" si="1"/>
        <v>0</v>
      </c>
      <c r="L30" s="167"/>
      <c r="M30" s="127"/>
    </row>
    <row r="31" spans="1:13" s="125" customFormat="1" x14ac:dyDescent="0.25">
      <c r="A31" s="158" t="s">
        <v>242</v>
      </c>
      <c r="B31" s="151" t="s">
        <v>243</v>
      </c>
      <c r="C31" s="142">
        <v>83900</v>
      </c>
      <c r="D31" s="171">
        <v>83900</v>
      </c>
      <c r="E31" s="142">
        <v>0</v>
      </c>
      <c r="F31" s="187">
        <v>19277.513097000003</v>
      </c>
      <c r="G31" s="164">
        <v>19277.513097000003</v>
      </c>
      <c r="H31" s="164">
        <v>0</v>
      </c>
      <c r="I31" s="172">
        <f t="shared" si="1"/>
        <v>22.976773655542317</v>
      </c>
      <c r="J31" s="172">
        <f t="shared" si="1"/>
        <v>22.976773655542317</v>
      </c>
      <c r="K31" s="172">
        <f t="shared" si="1"/>
        <v>0</v>
      </c>
      <c r="L31" s="167"/>
      <c r="M31" s="127"/>
    </row>
    <row r="32" spans="1:13" x14ac:dyDescent="0.25">
      <c r="A32" s="158" t="s">
        <v>8</v>
      </c>
      <c r="B32" s="151" t="s">
        <v>75</v>
      </c>
      <c r="C32" s="142">
        <v>1441140</v>
      </c>
      <c r="D32" s="142">
        <v>1377570</v>
      </c>
      <c r="E32" s="142">
        <v>63570</v>
      </c>
      <c r="F32" s="142">
        <v>1589410.533905</v>
      </c>
      <c r="G32" s="142">
        <v>1519875.9024049998</v>
      </c>
      <c r="H32" s="142">
        <v>69534.631499999989</v>
      </c>
      <c r="I32" s="172">
        <f t="shared" si="1"/>
        <v>110.28841985546165</v>
      </c>
      <c r="J32" s="172">
        <f t="shared" si="1"/>
        <v>110.33021206944112</v>
      </c>
      <c r="K32" s="172">
        <f t="shared" si="1"/>
        <v>109.38277725342141</v>
      </c>
      <c r="L32" s="167"/>
      <c r="M32" s="127"/>
    </row>
    <row r="33" spans="1:13" x14ac:dyDescent="0.25">
      <c r="A33" s="158" t="s">
        <v>39</v>
      </c>
      <c r="B33" s="151" t="s">
        <v>27</v>
      </c>
      <c r="C33" s="142">
        <v>0</v>
      </c>
      <c r="D33" s="142"/>
      <c r="E33" s="142">
        <v>0</v>
      </c>
      <c r="F33" s="142">
        <v>43796.432468999992</v>
      </c>
      <c r="G33" s="142">
        <v>37058.607468999995</v>
      </c>
      <c r="H33" s="142">
        <v>6737.8249999999998</v>
      </c>
      <c r="I33" s="172">
        <f t="shared" si="1"/>
        <v>0</v>
      </c>
      <c r="J33" s="172">
        <f t="shared" si="1"/>
        <v>0</v>
      </c>
      <c r="K33" s="172">
        <f t="shared" si="1"/>
        <v>0</v>
      </c>
      <c r="L33" s="167"/>
      <c r="M33" s="127"/>
    </row>
    <row r="34" spans="1:13" x14ac:dyDescent="0.25">
      <c r="A34" s="148">
        <v>1</v>
      </c>
      <c r="B34" s="149" t="s">
        <v>203</v>
      </c>
      <c r="C34" s="142">
        <v>0</v>
      </c>
      <c r="D34" s="174"/>
      <c r="E34" s="142"/>
      <c r="F34" s="174">
        <v>7095.7290000000003</v>
      </c>
      <c r="G34" s="174">
        <v>488</v>
      </c>
      <c r="H34" s="174">
        <v>6607.7290000000003</v>
      </c>
      <c r="I34" s="176">
        <f t="shared" si="1"/>
        <v>0</v>
      </c>
      <c r="J34" s="176">
        <f t="shared" si="1"/>
        <v>0</v>
      </c>
      <c r="K34" s="176">
        <f t="shared" si="1"/>
        <v>0</v>
      </c>
      <c r="L34" s="167"/>
      <c r="M34" s="127"/>
    </row>
    <row r="35" spans="1:13" x14ac:dyDescent="0.25">
      <c r="A35" s="148">
        <v>2</v>
      </c>
      <c r="B35" s="149" t="s">
        <v>204</v>
      </c>
      <c r="C35" s="142">
        <v>0</v>
      </c>
      <c r="D35" s="174"/>
      <c r="E35" s="142"/>
      <c r="F35" s="174">
        <v>36700.703468999993</v>
      </c>
      <c r="G35" s="174">
        <v>36570.607468999995</v>
      </c>
      <c r="H35" s="174">
        <v>130.09599999999949</v>
      </c>
      <c r="I35" s="176">
        <f t="shared" si="1"/>
        <v>0</v>
      </c>
      <c r="J35" s="176">
        <f t="shared" si="1"/>
        <v>0</v>
      </c>
      <c r="K35" s="176">
        <f t="shared" si="1"/>
        <v>0</v>
      </c>
      <c r="L35" s="167"/>
      <c r="M35" s="127"/>
    </row>
    <row r="36" spans="1:13" x14ac:dyDescent="0.25">
      <c r="A36" s="158" t="s">
        <v>25</v>
      </c>
      <c r="B36" s="151" t="s">
        <v>205</v>
      </c>
      <c r="C36" s="142">
        <v>1441140</v>
      </c>
      <c r="D36" s="142">
        <v>1377570</v>
      </c>
      <c r="E36" s="142">
        <v>63570</v>
      </c>
      <c r="F36" s="142">
        <v>1545614.1014359999</v>
      </c>
      <c r="G36" s="142">
        <v>1482817.2949359999</v>
      </c>
      <c r="H36" s="142">
        <v>62796.806499999992</v>
      </c>
      <c r="I36" s="172">
        <f t="shared" si="1"/>
        <v>107.24940681932358</v>
      </c>
      <c r="J36" s="172">
        <f t="shared" si="1"/>
        <v>107.64006873959218</v>
      </c>
      <c r="K36" s="172">
        <f t="shared" si="1"/>
        <v>98.783713229510766</v>
      </c>
      <c r="L36" s="167"/>
      <c r="M36" s="127"/>
    </row>
    <row r="37" spans="1:13" x14ac:dyDescent="0.25">
      <c r="A37" s="156" t="s">
        <v>206</v>
      </c>
      <c r="B37" s="157" t="s">
        <v>207</v>
      </c>
      <c r="C37" s="142">
        <v>1234788</v>
      </c>
      <c r="D37" s="142">
        <v>1234788</v>
      </c>
      <c r="E37" s="142">
        <v>0</v>
      </c>
      <c r="F37" s="142">
        <v>1352597.853684</v>
      </c>
      <c r="G37" s="142">
        <v>1352597.853684</v>
      </c>
      <c r="H37" s="142">
        <v>0</v>
      </c>
      <c r="I37" s="172">
        <f t="shared" si="1"/>
        <v>109.54089719725167</v>
      </c>
      <c r="J37" s="172">
        <f t="shared" si="1"/>
        <v>109.54089719725167</v>
      </c>
      <c r="K37" s="172">
        <f t="shared" si="1"/>
        <v>0</v>
      </c>
      <c r="L37" s="167"/>
      <c r="M37" s="127"/>
    </row>
    <row r="38" spans="1:13" hidden="1" outlineLevel="1" x14ac:dyDescent="0.25">
      <c r="A38" s="156">
        <v>1</v>
      </c>
      <c r="B38" s="157" t="s">
        <v>145</v>
      </c>
      <c r="C38" s="142">
        <v>386030</v>
      </c>
      <c r="D38" s="142">
        <v>386030</v>
      </c>
      <c r="E38" s="142">
        <v>0</v>
      </c>
      <c r="F38" s="142">
        <v>370724.38072699995</v>
      </c>
      <c r="G38" s="142">
        <v>370724.38072699995</v>
      </c>
      <c r="H38" s="142"/>
      <c r="I38" s="172"/>
      <c r="J38" s="172"/>
      <c r="K38" s="172"/>
      <c r="L38" s="167"/>
      <c r="M38" s="127"/>
    </row>
    <row r="39" spans="1:13" hidden="1" outlineLevel="1" x14ac:dyDescent="0.25">
      <c r="A39" s="156" t="s">
        <v>78</v>
      </c>
      <c r="B39" s="157" t="s">
        <v>438</v>
      </c>
      <c r="C39" s="142">
        <v>0</v>
      </c>
      <c r="D39" s="142"/>
      <c r="E39" s="142">
        <v>0</v>
      </c>
      <c r="F39" s="142">
        <v>199806.565</v>
      </c>
      <c r="G39" s="142">
        <v>199806.565</v>
      </c>
      <c r="H39" s="142"/>
      <c r="I39" s="172"/>
      <c r="J39" s="172"/>
      <c r="K39" s="172"/>
      <c r="L39" s="167"/>
      <c r="M39" s="127"/>
    </row>
    <row r="40" spans="1:13" ht="25.5" hidden="1" outlineLevel="1" x14ac:dyDescent="0.25">
      <c r="A40" s="148" t="s">
        <v>12</v>
      </c>
      <c r="B40" s="188" t="s">
        <v>225</v>
      </c>
      <c r="C40" s="174">
        <v>0</v>
      </c>
      <c r="D40" s="174"/>
      <c r="E40" s="174">
        <v>0</v>
      </c>
      <c r="F40" s="174">
        <v>195985.905</v>
      </c>
      <c r="G40" s="174">
        <v>195985.905</v>
      </c>
      <c r="H40" s="174"/>
      <c r="I40" s="176"/>
      <c r="J40" s="176"/>
      <c r="K40" s="176"/>
      <c r="L40" s="167"/>
      <c r="M40" s="127"/>
    </row>
    <row r="41" spans="1:13" ht="25.5" hidden="1" outlineLevel="1" x14ac:dyDescent="0.25">
      <c r="A41" s="148" t="s">
        <v>12</v>
      </c>
      <c r="B41" s="189" t="s">
        <v>439</v>
      </c>
      <c r="C41" s="174">
        <v>0</v>
      </c>
      <c r="D41" s="174"/>
      <c r="E41" s="174">
        <v>0</v>
      </c>
      <c r="F41" s="174">
        <v>3820.66</v>
      </c>
      <c r="G41" s="174">
        <v>3820.66</v>
      </c>
      <c r="H41" s="174"/>
      <c r="I41" s="176"/>
      <c r="J41" s="176"/>
      <c r="K41" s="176"/>
      <c r="L41" s="167"/>
      <c r="M41" s="127"/>
    </row>
    <row r="42" spans="1:13" hidden="1" outlineLevel="1" x14ac:dyDescent="0.25">
      <c r="A42" s="156" t="s">
        <v>79</v>
      </c>
      <c r="B42" s="157" t="s">
        <v>440</v>
      </c>
      <c r="C42" s="142">
        <v>386030</v>
      </c>
      <c r="D42" s="142">
        <v>386030</v>
      </c>
      <c r="E42" s="142">
        <v>0</v>
      </c>
      <c r="F42" s="142">
        <v>170917.81572699998</v>
      </c>
      <c r="G42" s="142">
        <v>170917.81572699998</v>
      </c>
      <c r="H42" s="142"/>
      <c r="I42" s="172"/>
      <c r="J42" s="172"/>
      <c r="K42" s="172"/>
      <c r="L42" s="167"/>
      <c r="M42" s="127"/>
    </row>
    <row r="43" spans="1:13" ht="25.5" hidden="1" outlineLevel="1" x14ac:dyDescent="0.25">
      <c r="A43" s="148" t="s">
        <v>12</v>
      </c>
      <c r="B43" s="188" t="s">
        <v>441</v>
      </c>
      <c r="C43" s="174">
        <v>35904</v>
      </c>
      <c r="D43" s="174">
        <v>35904</v>
      </c>
      <c r="E43" s="174">
        <v>0</v>
      </c>
      <c r="F43" s="174">
        <v>22279.692595</v>
      </c>
      <c r="G43" s="174">
        <v>22279.692595</v>
      </c>
      <c r="H43" s="174"/>
      <c r="I43" s="176"/>
      <c r="J43" s="176"/>
      <c r="K43" s="176"/>
      <c r="L43" s="167"/>
      <c r="M43" s="127"/>
    </row>
    <row r="44" spans="1:13" hidden="1" outlineLevel="1" x14ac:dyDescent="0.25">
      <c r="A44" s="148" t="s">
        <v>12</v>
      </c>
      <c r="B44" s="190" t="s">
        <v>442</v>
      </c>
      <c r="C44" s="174">
        <v>46980</v>
      </c>
      <c r="D44" s="174">
        <v>46980</v>
      </c>
      <c r="E44" s="174">
        <v>0</v>
      </c>
      <c r="F44" s="174">
        <v>38692.844313000001</v>
      </c>
      <c r="G44" s="174">
        <v>38692.844313000001</v>
      </c>
      <c r="H44" s="174"/>
      <c r="I44" s="176"/>
      <c r="J44" s="176"/>
      <c r="K44" s="176"/>
      <c r="L44" s="167"/>
      <c r="M44" s="127"/>
    </row>
    <row r="45" spans="1:13" ht="25.5" hidden="1" outlineLevel="1" x14ac:dyDescent="0.25">
      <c r="A45" s="148" t="s">
        <v>12</v>
      </c>
      <c r="B45" s="191" t="s">
        <v>443</v>
      </c>
      <c r="C45" s="174">
        <v>224000</v>
      </c>
      <c r="D45" s="174">
        <v>224000</v>
      </c>
      <c r="E45" s="174">
        <v>0</v>
      </c>
      <c r="F45" s="174">
        <v>83489.148786999998</v>
      </c>
      <c r="G45" s="174">
        <v>83489.148786999998</v>
      </c>
      <c r="H45" s="174"/>
      <c r="I45" s="176"/>
      <c r="J45" s="176"/>
      <c r="K45" s="176"/>
      <c r="L45" s="167"/>
      <c r="M45" s="127"/>
    </row>
    <row r="46" spans="1:13" ht="38.25" hidden="1" outlineLevel="1" x14ac:dyDescent="0.25">
      <c r="A46" s="148" t="s">
        <v>12</v>
      </c>
      <c r="B46" s="189" t="s">
        <v>444</v>
      </c>
      <c r="C46" s="174">
        <v>79146</v>
      </c>
      <c r="D46" s="174">
        <v>79146</v>
      </c>
      <c r="E46" s="174">
        <v>0</v>
      </c>
      <c r="F46" s="174">
        <v>26456.130031999997</v>
      </c>
      <c r="G46" s="174">
        <v>26456.130031999997</v>
      </c>
      <c r="H46" s="174"/>
      <c r="I46" s="176"/>
      <c r="J46" s="176"/>
      <c r="K46" s="176"/>
      <c r="L46" s="167"/>
      <c r="M46" s="127"/>
    </row>
    <row r="47" spans="1:13" ht="25.5" hidden="1" outlineLevel="1" x14ac:dyDescent="0.25">
      <c r="A47" s="156" t="s">
        <v>445</v>
      </c>
      <c r="B47" s="159" t="s">
        <v>446</v>
      </c>
      <c r="C47" s="142">
        <v>0</v>
      </c>
      <c r="D47" s="142"/>
      <c r="E47" s="142">
        <v>0</v>
      </c>
      <c r="F47" s="142">
        <v>10254.152539000001</v>
      </c>
      <c r="G47" s="142">
        <v>10254.152539000001</v>
      </c>
      <c r="H47" s="142"/>
      <c r="I47" s="172"/>
      <c r="J47" s="172"/>
      <c r="K47" s="172"/>
      <c r="L47" s="167"/>
      <c r="M47" s="127"/>
    </row>
    <row r="48" spans="1:13" hidden="1" outlineLevel="1" x14ac:dyDescent="0.25">
      <c r="A48" s="148" t="s">
        <v>12</v>
      </c>
      <c r="B48" s="190" t="s">
        <v>442</v>
      </c>
      <c r="C48" s="174">
        <v>0</v>
      </c>
      <c r="D48" s="174"/>
      <c r="E48" s="174">
        <v>0</v>
      </c>
      <c r="F48" s="174">
        <v>1227.0024410000005</v>
      </c>
      <c r="G48" s="174">
        <v>1227.0024410000005</v>
      </c>
      <c r="H48" s="174"/>
      <c r="I48" s="176"/>
      <c r="J48" s="176"/>
      <c r="K48" s="176"/>
      <c r="L48" s="167"/>
      <c r="M48" s="127"/>
    </row>
    <row r="49" spans="1:13" ht="25.5" hidden="1" outlineLevel="1" x14ac:dyDescent="0.25">
      <c r="A49" s="148" t="s">
        <v>12</v>
      </c>
      <c r="B49" s="191" t="s">
        <v>443</v>
      </c>
      <c r="C49" s="174">
        <v>0</v>
      </c>
      <c r="D49" s="174"/>
      <c r="E49" s="174">
        <v>0</v>
      </c>
      <c r="F49" s="174">
        <v>8571.2636870000006</v>
      </c>
      <c r="G49" s="174">
        <v>8571.2636870000006</v>
      </c>
      <c r="H49" s="174"/>
      <c r="I49" s="176"/>
      <c r="J49" s="176"/>
      <c r="K49" s="176"/>
      <c r="L49" s="167"/>
      <c r="M49" s="127"/>
    </row>
    <row r="50" spans="1:13" ht="25.5" hidden="1" outlineLevel="1" x14ac:dyDescent="0.25">
      <c r="A50" s="148" t="s">
        <v>12</v>
      </c>
      <c r="B50" s="188" t="s">
        <v>441</v>
      </c>
      <c r="C50" s="174">
        <v>0</v>
      </c>
      <c r="D50" s="174"/>
      <c r="E50" s="174">
        <v>0</v>
      </c>
      <c r="F50" s="174">
        <v>455.88641100000001</v>
      </c>
      <c r="G50" s="174">
        <v>455.88641100000001</v>
      </c>
      <c r="H50" s="174"/>
      <c r="I50" s="176"/>
      <c r="J50" s="176"/>
      <c r="K50" s="176"/>
      <c r="L50" s="167"/>
      <c r="M50" s="127"/>
    </row>
    <row r="51" spans="1:13" hidden="1" outlineLevel="1" x14ac:dyDescent="0.25">
      <c r="A51" s="156" t="s">
        <v>447</v>
      </c>
      <c r="B51" s="157" t="s">
        <v>127</v>
      </c>
      <c r="C51" s="142">
        <v>848758</v>
      </c>
      <c r="D51" s="142">
        <v>848758</v>
      </c>
      <c r="E51" s="142">
        <v>0</v>
      </c>
      <c r="F51" s="142">
        <v>971619.3204180001</v>
      </c>
      <c r="G51" s="142">
        <v>971619.3204180001</v>
      </c>
      <c r="H51" s="142"/>
      <c r="I51" s="172"/>
      <c r="J51" s="172"/>
      <c r="K51" s="172"/>
      <c r="L51" s="167"/>
      <c r="M51" s="127"/>
    </row>
    <row r="52" spans="1:13" hidden="1" outlineLevel="1" x14ac:dyDescent="0.25">
      <c r="A52" s="156" t="s">
        <v>448</v>
      </c>
      <c r="B52" s="157" t="s">
        <v>449</v>
      </c>
      <c r="C52" s="142">
        <v>848758</v>
      </c>
      <c r="D52" s="142">
        <v>848758</v>
      </c>
      <c r="E52" s="142">
        <v>0</v>
      </c>
      <c r="F52" s="142">
        <v>892690.55371300015</v>
      </c>
      <c r="G52" s="142">
        <v>892690.55371300015</v>
      </c>
      <c r="H52" s="142"/>
      <c r="I52" s="172"/>
      <c r="J52" s="172"/>
      <c r="K52" s="172"/>
      <c r="L52" s="167"/>
      <c r="M52" s="127"/>
    </row>
    <row r="53" spans="1:13" hidden="1" outlineLevel="1" x14ac:dyDescent="0.25">
      <c r="A53" s="148" t="s">
        <v>12</v>
      </c>
      <c r="B53" s="188" t="s">
        <v>450</v>
      </c>
      <c r="C53" s="174">
        <v>476376</v>
      </c>
      <c r="D53" s="174">
        <v>476376</v>
      </c>
      <c r="E53" s="174">
        <v>0</v>
      </c>
      <c r="F53" s="174">
        <v>294180.01506100001</v>
      </c>
      <c r="G53" s="174">
        <v>294180.01506100001</v>
      </c>
      <c r="H53" s="174"/>
      <c r="I53" s="176"/>
      <c r="J53" s="176"/>
      <c r="K53" s="176"/>
      <c r="L53" s="167"/>
      <c r="M53" s="127"/>
    </row>
    <row r="54" spans="1:13" hidden="1" outlineLevel="1" x14ac:dyDescent="0.25">
      <c r="A54" s="148" t="s">
        <v>12</v>
      </c>
      <c r="B54" s="149" t="s">
        <v>451</v>
      </c>
      <c r="C54" s="174">
        <v>99426.442999999999</v>
      </c>
      <c r="D54" s="174">
        <v>99426.442999999999</v>
      </c>
      <c r="E54" s="174">
        <v>0</v>
      </c>
      <c r="F54" s="174">
        <v>92597.739499999996</v>
      </c>
      <c r="G54" s="174">
        <v>92597.739499999996</v>
      </c>
      <c r="H54" s="174"/>
      <c r="I54" s="176"/>
      <c r="J54" s="176"/>
      <c r="K54" s="176"/>
      <c r="L54" s="167"/>
      <c r="M54" s="127"/>
    </row>
    <row r="55" spans="1:13" hidden="1" outlineLevel="1" x14ac:dyDescent="0.25">
      <c r="A55" s="148" t="s">
        <v>12</v>
      </c>
      <c r="B55" s="149" t="s">
        <v>452</v>
      </c>
      <c r="C55" s="174">
        <v>7611</v>
      </c>
      <c r="D55" s="174">
        <v>7611</v>
      </c>
      <c r="E55" s="174">
        <v>0</v>
      </c>
      <c r="F55" s="174">
        <v>7646.2980950000001</v>
      </c>
      <c r="G55" s="174">
        <v>7646.2980950000001</v>
      </c>
      <c r="H55" s="174"/>
      <c r="I55" s="176"/>
      <c r="J55" s="176"/>
      <c r="K55" s="176"/>
      <c r="L55" s="167"/>
      <c r="M55" s="127"/>
    </row>
    <row r="56" spans="1:13" ht="25.5" hidden="1" outlineLevel="1" x14ac:dyDescent="0.25">
      <c r="A56" s="148" t="s">
        <v>12</v>
      </c>
      <c r="B56" s="149" t="s">
        <v>453</v>
      </c>
      <c r="C56" s="174">
        <v>110900</v>
      </c>
      <c r="D56" s="174">
        <v>110900</v>
      </c>
      <c r="E56" s="174">
        <v>0</v>
      </c>
      <c r="F56" s="174">
        <v>26410.048000000003</v>
      </c>
      <c r="G56" s="174">
        <v>26410.048000000003</v>
      </c>
      <c r="H56" s="174"/>
      <c r="I56" s="176"/>
      <c r="J56" s="176"/>
      <c r="K56" s="176"/>
      <c r="L56" s="167"/>
      <c r="M56" s="127"/>
    </row>
    <row r="57" spans="1:13" hidden="1" outlineLevel="1" x14ac:dyDescent="0.25">
      <c r="A57" s="148" t="s">
        <v>12</v>
      </c>
      <c r="B57" s="149" t="s">
        <v>454</v>
      </c>
      <c r="C57" s="174">
        <v>126532.557</v>
      </c>
      <c r="D57" s="174">
        <v>126532.557</v>
      </c>
      <c r="E57" s="174">
        <v>0</v>
      </c>
      <c r="F57" s="174">
        <v>106283.64799999999</v>
      </c>
      <c r="G57" s="174">
        <v>106283.64799999999</v>
      </c>
      <c r="H57" s="174"/>
      <c r="I57" s="176"/>
      <c r="J57" s="176"/>
      <c r="K57" s="176"/>
      <c r="L57" s="167"/>
      <c r="M57" s="127"/>
    </row>
    <row r="58" spans="1:13" hidden="1" outlineLevel="1" x14ac:dyDescent="0.25">
      <c r="A58" s="148" t="s">
        <v>12</v>
      </c>
      <c r="B58" s="188" t="s">
        <v>455</v>
      </c>
      <c r="C58" s="174">
        <v>700</v>
      </c>
      <c r="D58" s="174">
        <v>700</v>
      </c>
      <c r="E58" s="174">
        <v>0</v>
      </c>
      <c r="F58" s="174">
        <v>0</v>
      </c>
      <c r="G58" s="174">
        <v>0</v>
      </c>
      <c r="H58" s="174"/>
      <c r="I58" s="176"/>
      <c r="J58" s="176"/>
      <c r="K58" s="176"/>
      <c r="L58" s="167"/>
      <c r="M58" s="127"/>
    </row>
    <row r="59" spans="1:13" hidden="1" outlineLevel="1" x14ac:dyDescent="0.25">
      <c r="A59" s="148" t="s">
        <v>12</v>
      </c>
      <c r="B59" s="188" t="s">
        <v>456</v>
      </c>
      <c r="C59" s="174">
        <v>27212</v>
      </c>
      <c r="D59" s="174">
        <v>27212</v>
      </c>
      <c r="E59" s="174">
        <v>0</v>
      </c>
      <c r="F59" s="174">
        <v>3168.8610000000008</v>
      </c>
      <c r="G59" s="174">
        <v>3168.8610000000008</v>
      </c>
      <c r="H59" s="174"/>
      <c r="I59" s="176"/>
      <c r="J59" s="176"/>
      <c r="K59" s="176"/>
      <c r="L59" s="167"/>
      <c r="M59" s="127"/>
    </row>
    <row r="60" spans="1:13" ht="25.5" hidden="1" outlineLevel="1" x14ac:dyDescent="0.25">
      <c r="A60" s="148" t="s">
        <v>12</v>
      </c>
      <c r="B60" s="188" t="s">
        <v>457</v>
      </c>
      <c r="C60" s="174">
        <v>0</v>
      </c>
      <c r="D60" s="174"/>
      <c r="E60" s="174">
        <v>0</v>
      </c>
      <c r="F60" s="174">
        <v>83092.604460000002</v>
      </c>
      <c r="G60" s="174">
        <v>83092.604460000002</v>
      </c>
      <c r="H60" s="174"/>
      <c r="I60" s="176"/>
      <c r="J60" s="176"/>
      <c r="K60" s="176"/>
      <c r="L60" s="167"/>
      <c r="M60" s="127"/>
    </row>
    <row r="61" spans="1:13" ht="25.5" hidden="1" outlineLevel="1" x14ac:dyDescent="0.25">
      <c r="A61" s="148" t="s">
        <v>12</v>
      </c>
      <c r="B61" s="149" t="s">
        <v>458</v>
      </c>
      <c r="C61" s="174">
        <v>0</v>
      </c>
      <c r="D61" s="174"/>
      <c r="E61" s="174">
        <v>0</v>
      </c>
      <c r="F61" s="174">
        <v>800.58470499999999</v>
      </c>
      <c r="G61" s="174">
        <v>800.58470499999999</v>
      </c>
      <c r="H61" s="174"/>
      <c r="I61" s="176"/>
      <c r="J61" s="176"/>
      <c r="K61" s="176"/>
      <c r="L61" s="167"/>
      <c r="M61" s="127"/>
    </row>
    <row r="62" spans="1:13" ht="25.5" hidden="1" outlineLevel="1" x14ac:dyDescent="0.25">
      <c r="A62" s="148" t="s">
        <v>12</v>
      </c>
      <c r="B62" s="149" t="s">
        <v>459</v>
      </c>
      <c r="C62" s="174">
        <v>0</v>
      </c>
      <c r="D62" s="174"/>
      <c r="E62" s="174">
        <v>0</v>
      </c>
      <c r="F62" s="174">
        <v>21749.041000000001</v>
      </c>
      <c r="G62" s="174">
        <v>21749.041000000001</v>
      </c>
      <c r="H62" s="174"/>
      <c r="I62" s="176"/>
      <c r="J62" s="176"/>
      <c r="K62" s="176"/>
      <c r="L62" s="167"/>
      <c r="M62" s="127"/>
    </row>
    <row r="63" spans="1:13" ht="25.5" hidden="1" outlineLevel="1" x14ac:dyDescent="0.25">
      <c r="A63" s="148" t="s">
        <v>12</v>
      </c>
      <c r="B63" s="149" t="s">
        <v>460</v>
      </c>
      <c r="C63" s="174">
        <v>0</v>
      </c>
      <c r="D63" s="174"/>
      <c r="E63" s="174">
        <v>0</v>
      </c>
      <c r="F63" s="174">
        <v>146211.486107</v>
      </c>
      <c r="G63" s="174">
        <v>146211.486107</v>
      </c>
      <c r="H63" s="174"/>
      <c r="I63" s="176"/>
      <c r="J63" s="176"/>
      <c r="K63" s="176"/>
      <c r="L63" s="167"/>
      <c r="M63" s="127"/>
    </row>
    <row r="64" spans="1:13" hidden="1" outlineLevel="1" x14ac:dyDescent="0.25">
      <c r="A64" s="148" t="s">
        <v>12</v>
      </c>
      <c r="B64" s="188" t="s">
        <v>461</v>
      </c>
      <c r="C64" s="174">
        <v>0</v>
      </c>
      <c r="D64" s="174"/>
      <c r="E64" s="174">
        <v>0</v>
      </c>
      <c r="F64" s="174">
        <v>99999.273000000001</v>
      </c>
      <c r="G64" s="174">
        <v>99999.273000000001</v>
      </c>
      <c r="H64" s="174"/>
      <c r="I64" s="176"/>
      <c r="J64" s="176"/>
      <c r="K64" s="176"/>
      <c r="L64" s="167"/>
      <c r="M64" s="127"/>
    </row>
    <row r="65" spans="1:13" hidden="1" outlineLevel="1" x14ac:dyDescent="0.25">
      <c r="A65" s="148" t="s">
        <v>12</v>
      </c>
      <c r="B65" s="188" t="s">
        <v>462</v>
      </c>
      <c r="C65" s="174">
        <v>0</v>
      </c>
      <c r="D65" s="174"/>
      <c r="E65" s="174">
        <v>0</v>
      </c>
      <c r="F65" s="174">
        <v>10550.954785000002</v>
      </c>
      <c r="G65" s="174">
        <v>10550.954785000002</v>
      </c>
      <c r="H65" s="174"/>
      <c r="I65" s="176"/>
      <c r="J65" s="176"/>
      <c r="K65" s="176"/>
      <c r="L65" s="167"/>
      <c r="M65" s="127"/>
    </row>
    <row r="66" spans="1:13" hidden="1" outlineLevel="1" x14ac:dyDescent="0.25">
      <c r="A66" s="156" t="s">
        <v>144</v>
      </c>
      <c r="B66" s="157" t="s">
        <v>463</v>
      </c>
      <c r="C66" s="142">
        <v>0</v>
      </c>
      <c r="D66" s="142"/>
      <c r="E66" s="142">
        <v>0</v>
      </c>
      <c r="F66" s="142">
        <v>78928.766705000002</v>
      </c>
      <c r="G66" s="142">
        <v>78928.766705000002</v>
      </c>
      <c r="H66" s="142"/>
      <c r="I66" s="172"/>
      <c r="J66" s="172"/>
      <c r="K66" s="172"/>
      <c r="L66" s="167"/>
      <c r="M66" s="127"/>
    </row>
    <row r="67" spans="1:13" hidden="1" outlineLevel="1" x14ac:dyDescent="0.25">
      <c r="A67" s="148" t="s">
        <v>12</v>
      </c>
      <c r="B67" s="188" t="s">
        <v>464</v>
      </c>
      <c r="C67" s="174">
        <v>0</v>
      </c>
      <c r="D67" s="174"/>
      <c r="E67" s="174">
        <v>0</v>
      </c>
      <c r="F67" s="174">
        <v>78928.766705000002</v>
      </c>
      <c r="G67" s="174">
        <v>78928.766705000002</v>
      </c>
      <c r="H67" s="174"/>
      <c r="I67" s="176"/>
      <c r="J67" s="176"/>
      <c r="K67" s="176"/>
      <c r="L67" s="167"/>
      <c r="M67" s="127"/>
    </row>
    <row r="68" spans="1:13" hidden="1" outlineLevel="1" x14ac:dyDescent="0.25">
      <c r="A68" s="148"/>
      <c r="B68" s="149" t="s">
        <v>465</v>
      </c>
      <c r="C68" s="174">
        <v>0</v>
      </c>
      <c r="D68" s="174"/>
      <c r="E68" s="174">
        <v>0</v>
      </c>
      <c r="F68" s="174">
        <v>0</v>
      </c>
      <c r="G68" s="174"/>
      <c r="H68" s="174"/>
      <c r="I68" s="176"/>
      <c r="J68" s="176"/>
      <c r="K68" s="176"/>
      <c r="L68" s="167"/>
      <c r="M68" s="127"/>
    </row>
    <row r="69" spans="1:13" collapsed="1" x14ac:dyDescent="0.25">
      <c r="A69" s="158" t="s">
        <v>208</v>
      </c>
      <c r="B69" s="151" t="s">
        <v>209</v>
      </c>
      <c r="C69" s="142">
        <v>206352</v>
      </c>
      <c r="D69" s="142">
        <v>142782</v>
      </c>
      <c r="E69" s="142">
        <v>63570</v>
      </c>
      <c r="F69" s="142">
        <v>193016.24775199997</v>
      </c>
      <c r="G69" s="142">
        <v>130219.44125200002</v>
      </c>
      <c r="H69" s="142">
        <v>62796.806499999992</v>
      </c>
      <c r="I69" s="172">
        <f t="shared" si="1"/>
        <v>93.537376789175767</v>
      </c>
      <c r="J69" s="172">
        <f t="shared" si="1"/>
        <v>91.201580907957606</v>
      </c>
      <c r="K69" s="172">
        <f t="shared" si="1"/>
        <v>98.783713229510766</v>
      </c>
      <c r="L69" s="167"/>
      <c r="M69" s="127"/>
    </row>
    <row r="70" spans="1:13" s="125" customFormat="1" hidden="1" outlineLevel="1" x14ac:dyDescent="0.25">
      <c r="A70" s="158" t="s">
        <v>39</v>
      </c>
      <c r="B70" s="151" t="s">
        <v>128</v>
      </c>
      <c r="C70" s="142">
        <v>18680</v>
      </c>
      <c r="D70" s="142">
        <v>18680</v>
      </c>
      <c r="E70" s="142">
        <v>0</v>
      </c>
      <c r="F70" s="142">
        <v>7819.8088029999999</v>
      </c>
      <c r="G70" s="142">
        <v>7819.8088029999999</v>
      </c>
      <c r="H70" s="142">
        <v>0</v>
      </c>
      <c r="I70" s="172">
        <f t="shared" si="1"/>
        <v>41.861931493576016</v>
      </c>
      <c r="J70" s="172">
        <f t="shared" si="1"/>
        <v>41.861931493576016</v>
      </c>
      <c r="K70" s="172">
        <f t="shared" si="1"/>
        <v>0</v>
      </c>
      <c r="L70" s="167"/>
      <c r="M70" s="127"/>
    </row>
    <row r="71" spans="1:13" ht="38.25" hidden="1" outlineLevel="1" x14ac:dyDescent="0.25">
      <c r="A71" s="154" t="s">
        <v>244</v>
      </c>
      <c r="B71" s="155" t="s">
        <v>466</v>
      </c>
      <c r="C71" s="174">
        <v>11500</v>
      </c>
      <c r="D71" s="174">
        <v>11500</v>
      </c>
      <c r="E71" s="174">
        <v>0</v>
      </c>
      <c r="F71" s="174">
        <v>5376.8008030000001</v>
      </c>
      <c r="G71" s="174">
        <v>5376.8008030000001</v>
      </c>
      <c r="H71" s="174"/>
      <c r="I71" s="176">
        <f t="shared" si="1"/>
        <v>46.754789591304345</v>
      </c>
      <c r="J71" s="176">
        <f t="shared" si="1"/>
        <v>46.754789591304345</v>
      </c>
      <c r="K71" s="176">
        <f t="shared" si="1"/>
        <v>0</v>
      </c>
      <c r="L71" s="167"/>
      <c r="M71" s="127"/>
    </row>
    <row r="72" spans="1:13" ht="51" hidden="1" outlineLevel="1" x14ac:dyDescent="0.25">
      <c r="A72" s="154" t="s">
        <v>244</v>
      </c>
      <c r="B72" s="155" t="s">
        <v>245</v>
      </c>
      <c r="C72" s="174">
        <v>4683</v>
      </c>
      <c r="D72" s="174">
        <v>4683</v>
      </c>
      <c r="E72" s="174">
        <v>0</v>
      </c>
      <c r="F72" s="174">
        <v>2443.0079999999998</v>
      </c>
      <c r="G72" s="174">
        <v>2443.0079999999998</v>
      </c>
      <c r="H72" s="174"/>
      <c r="I72" s="176">
        <f t="shared" si="1"/>
        <v>52.167584881486221</v>
      </c>
      <c r="J72" s="176">
        <f t="shared" si="1"/>
        <v>52.167584881486221</v>
      </c>
      <c r="K72" s="176">
        <f t="shared" si="1"/>
        <v>0</v>
      </c>
      <c r="L72" s="167"/>
      <c r="M72" s="127"/>
    </row>
    <row r="73" spans="1:13" ht="51" hidden="1" outlineLevel="1" x14ac:dyDescent="0.25">
      <c r="A73" s="154" t="s">
        <v>244</v>
      </c>
      <c r="B73" s="155" t="s">
        <v>246</v>
      </c>
      <c r="C73" s="174">
        <v>1829</v>
      </c>
      <c r="D73" s="174">
        <v>1829</v>
      </c>
      <c r="E73" s="174">
        <v>0</v>
      </c>
      <c r="F73" s="174">
        <v>0</v>
      </c>
      <c r="G73" s="174"/>
      <c r="H73" s="174"/>
      <c r="I73" s="176">
        <f t="shared" si="1"/>
        <v>0</v>
      </c>
      <c r="J73" s="176">
        <f t="shared" si="1"/>
        <v>0</v>
      </c>
      <c r="K73" s="176">
        <f t="shared" si="1"/>
        <v>0</v>
      </c>
      <c r="L73" s="167"/>
      <c r="M73" s="127"/>
    </row>
    <row r="74" spans="1:13" hidden="1" outlineLevel="1" x14ac:dyDescent="0.25">
      <c r="A74" s="154" t="s">
        <v>244</v>
      </c>
      <c r="B74" s="155" t="s">
        <v>467</v>
      </c>
      <c r="C74" s="174">
        <v>668</v>
      </c>
      <c r="D74" s="174">
        <v>668</v>
      </c>
      <c r="E74" s="174">
        <v>0</v>
      </c>
      <c r="F74" s="174">
        <v>0</v>
      </c>
      <c r="G74" s="174"/>
      <c r="H74" s="174"/>
      <c r="I74" s="176">
        <f t="shared" si="1"/>
        <v>0</v>
      </c>
      <c r="J74" s="176">
        <f t="shared" si="1"/>
        <v>0</v>
      </c>
      <c r="K74" s="176">
        <f t="shared" si="1"/>
        <v>0</v>
      </c>
      <c r="L74" s="167"/>
      <c r="M74" s="127"/>
    </row>
    <row r="75" spans="1:13" s="125" customFormat="1" hidden="1" outlineLevel="1" x14ac:dyDescent="0.25">
      <c r="A75" s="158" t="s">
        <v>25</v>
      </c>
      <c r="B75" s="151" t="s">
        <v>127</v>
      </c>
      <c r="C75" s="142">
        <v>187672</v>
      </c>
      <c r="D75" s="142">
        <v>124102</v>
      </c>
      <c r="E75" s="142">
        <v>63570</v>
      </c>
      <c r="F75" s="142">
        <v>185196.43894899997</v>
      </c>
      <c r="G75" s="142">
        <v>122399.63244900001</v>
      </c>
      <c r="H75" s="142">
        <v>62796.806499999992</v>
      </c>
      <c r="I75" s="172">
        <f t="shared" si="1"/>
        <v>98.680910817276938</v>
      </c>
      <c r="J75" s="172">
        <f t="shared" si="1"/>
        <v>98.62825131665889</v>
      </c>
      <c r="K75" s="172">
        <f t="shared" si="1"/>
        <v>98.783713229510766</v>
      </c>
      <c r="L75" s="167"/>
      <c r="M75" s="127"/>
    </row>
    <row r="76" spans="1:13" hidden="1" outlineLevel="1" x14ac:dyDescent="0.25">
      <c r="A76" s="154">
        <v>1</v>
      </c>
      <c r="B76" s="155" t="s">
        <v>468</v>
      </c>
      <c r="C76" s="174">
        <v>23602</v>
      </c>
      <c r="D76" s="174">
        <v>2479</v>
      </c>
      <c r="E76" s="174">
        <v>21123</v>
      </c>
      <c r="F76" s="174">
        <v>23411.965499999998</v>
      </c>
      <c r="G76" s="174">
        <v>2479</v>
      </c>
      <c r="H76" s="174">
        <v>20932.965499999998</v>
      </c>
      <c r="I76" s="176">
        <f t="shared" si="1"/>
        <v>99.194837301923556</v>
      </c>
      <c r="J76" s="176">
        <f t="shared" si="1"/>
        <v>100</v>
      </c>
      <c r="K76" s="176">
        <f t="shared" si="1"/>
        <v>99.100343227761201</v>
      </c>
      <c r="L76" s="167"/>
      <c r="M76" s="127"/>
    </row>
    <row r="77" spans="1:13" ht="25.5" hidden="1" outlineLevel="1" x14ac:dyDescent="0.25">
      <c r="A77" s="154">
        <v>2</v>
      </c>
      <c r="B77" s="155" t="s">
        <v>469</v>
      </c>
      <c r="C77" s="174">
        <v>17849</v>
      </c>
      <c r="D77" s="174">
        <v>0</v>
      </c>
      <c r="E77" s="174">
        <v>17849</v>
      </c>
      <c r="F77" s="174">
        <v>17849</v>
      </c>
      <c r="G77" s="174"/>
      <c r="H77" s="174">
        <v>17849</v>
      </c>
      <c r="I77" s="176">
        <f t="shared" si="1"/>
        <v>100</v>
      </c>
      <c r="J77" s="176">
        <f t="shared" si="1"/>
        <v>0</v>
      </c>
      <c r="K77" s="176">
        <f t="shared" si="1"/>
        <v>100</v>
      </c>
      <c r="L77" s="167"/>
      <c r="M77" s="127"/>
    </row>
    <row r="78" spans="1:13" ht="51" hidden="1" outlineLevel="1" x14ac:dyDescent="0.25">
      <c r="A78" s="154">
        <v>3</v>
      </c>
      <c r="B78" s="155" t="s">
        <v>470</v>
      </c>
      <c r="C78" s="174">
        <v>3167</v>
      </c>
      <c r="D78" s="174">
        <v>654</v>
      </c>
      <c r="E78" s="174">
        <v>2513</v>
      </c>
      <c r="F78" s="174">
        <v>3154.261</v>
      </c>
      <c r="G78" s="174">
        <v>654</v>
      </c>
      <c r="H78" s="174">
        <v>2500.261</v>
      </c>
      <c r="I78" s="176">
        <f t="shared" si="1"/>
        <v>99.597758130723079</v>
      </c>
      <c r="J78" s="176">
        <f t="shared" si="1"/>
        <v>100</v>
      </c>
      <c r="K78" s="176">
        <f t="shared" si="1"/>
        <v>99.493076004775176</v>
      </c>
      <c r="L78" s="167"/>
      <c r="M78" s="127"/>
    </row>
    <row r="79" spans="1:13" ht="38.25" hidden="1" outlineLevel="1" x14ac:dyDescent="0.25">
      <c r="A79" s="154" t="s">
        <v>143</v>
      </c>
      <c r="B79" s="155" t="s">
        <v>471</v>
      </c>
      <c r="C79" s="174">
        <v>1355</v>
      </c>
      <c r="D79" s="174"/>
      <c r="E79" s="174">
        <v>1355</v>
      </c>
      <c r="F79" s="174">
        <v>1355</v>
      </c>
      <c r="G79" s="174"/>
      <c r="H79" s="174">
        <v>1355</v>
      </c>
      <c r="I79" s="176">
        <f t="shared" si="1"/>
        <v>100</v>
      </c>
      <c r="J79" s="176">
        <f t="shared" si="1"/>
        <v>0</v>
      </c>
      <c r="K79" s="176">
        <f t="shared" si="1"/>
        <v>100</v>
      </c>
      <c r="L79" s="167"/>
      <c r="M79" s="127"/>
    </row>
    <row r="80" spans="1:13" ht="38.25" hidden="1" outlineLevel="1" x14ac:dyDescent="0.25">
      <c r="A80" s="154" t="s">
        <v>144</v>
      </c>
      <c r="B80" s="155" t="s">
        <v>472</v>
      </c>
      <c r="C80" s="174">
        <v>1812</v>
      </c>
      <c r="D80" s="174">
        <v>654</v>
      </c>
      <c r="E80" s="174">
        <v>1158</v>
      </c>
      <c r="F80" s="174">
        <v>1799.261</v>
      </c>
      <c r="G80" s="174">
        <v>654</v>
      </c>
      <c r="H80" s="174">
        <v>1145.261</v>
      </c>
      <c r="I80" s="176">
        <f t="shared" si="1"/>
        <v>99.29696467991171</v>
      </c>
      <c r="J80" s="176">
        <f t="shared" si="1"/>
        <v>100</v>
      </c>
      <c r="K80" s="176">
        <f t="shared" si="1"/>
        <v>98.899913644214152</v>
      </c>
      <c r="L80" s="167"/>
      <c r="M80" s="127"/>
    </row>
    <row r="81" spans="1:13" ht="76.5" hidden="1" outlineLevel="1" x14ac:dyDescent="0.25">
      <c r="A81" s="154">
        <v>4</v>
      </c>
      <c r="B81" s="155" t="s">
        <v>210</v>
      </c>
      <c r="C81" s="174">
        <v>7714</v>
      </c>
      <c r="D81" s="174">
        <v>6637</v>
      </c>
      <c r="E81" s="174">
        <v>1077</v>
      </c>
      <c r="F81" s="174">
        <v>7714</v>
      </c>
      <c r="G81" s="174">
        <v>6637</v>
      </c>
      <c r="H81" s="174">
        <v>1077</v>
      </c>
      <c r="I81" s="176">
        <f t="shared" si="1"/>
        <v>100</v>
      </c>
      <c r="J81" s="176">
        <f t="shared" si="1"/>
        <v>100</v>
      </c>
      <c r="K81" s="176">
        <f t="shared" si="1"/>
        <v>100</v>
      </c>
      <c r="L81" s="167"/>
      <c r="M81" s="127"/>
    </row>
    <row r="82" spans="1:13" hidden="1" outlineLevel="1" x14ac:dyDescent="0.25">
      <c r="A82" s="154" t="s">
        <v>182</v>
      </c>
      <c r="B82" s="155" t="s">
        <v>211</v>
      </c>
      <c r="C82" s="174">
        <v>3868</v>
      </c>
      <c r="D82" s="174">
        <v>3868</v>
      </c>
      <c r="E82" s="174">
        <v>0</v>
      </c>
      <c r="F82" s="174">
        <v>3868</v>
      </c>
      <c r="G82" s="174">
        <v>3868</v>
      </c>
      <c r="H82" s="174"/>
      <c r="I82" s="172">
        <f t="shared" si="1"/>
        <v>100</v>
      </c>
      <c r="J82" s="172">
        <f t="shared" si="1"/>
        <v>100</v>
      </c>
      <c r="K82" s="172">
        <f t="shared" si="1"/>
        <v>0</v>
      </c>
      <c r="L82" s="167"/>
      <c r="M82" s="127"/>
    </row>
    <row r="83" spans="1:13" ht="25.5" hidden="1" outlineLevel="1" x14ac:dyDescent="0.25">
      <c r="A83" s="154" t="s">
        <v>183</v>
      </c>
      <c r="B83" s="155" t="s">
        <v>212</v>
      </c>
      <c r="C83" s="174">
        <v>1077</v>
      </c>
      <c r="D83" s="174"/>
      <c r="E83" s="174">
        <v>1077</v>
      </c>
      <c r="F83" s="174">
        <v>1077</v>
      </c>
      <c r="G83" s="174"/>
      <c r="H83" s="174">
        <v>1077</v>
      </c>
      <c r="I83" s="176">
        <f t="shared" si="1"/>
        <v>100</v>
      </c>
      <c r="J83" s="176">
        <f t="shared" si="1"/>
        <v>0</v>
      </c>
      <c r="K83" s="176">
        <f t="shared" si="1"/>
        <v>100</v>
      </c>
      <c r="L83" s="167"/>
      <c r="M83" s="127"/>
    </row>
    <row r="84" spans="1:13" ht="25.5" hidden="1" outlineLevel="1" x14ac:dyDescent="0.25">
      <c r="A84" s="154" t="s">
        <v>184</v>
      </c>
      <c r="B84" s="155" t="s">
        <v>213</v>
      </c>
      <c r="C84" s="174">
        <v>2769</v>
      </c>
      <c r="D84" s="174">
        <v>2769</v>
      </c>
      <c r="E84" s="174">
        <v>0</v>
      </c>
      <c r="F84" s="174">
        <v>2769</v>
      </c>
      <c r="G84" s="174">
        <v>2769</v>
      </c>
      <c r="H84" s="174">
        <v>0</v>
      </c>
      <c r="I84" s="176">
        <f t="shared" si="1"/>
        <v>100</v>
      </c>
      <c r="J84" s="176">
        <f t="shared" si="1"/>
        <v>100</v>
      </c>
      <c r="K84" s="176">
        <f t="shared" si="1"/>
        <v>0</v>
      </c>
      <c r="L84" s="167"/>
      <c r="M84" s="127"/>
    </row>
    <row r="85" spans="1:13" ht="38.25" hidden="1" outlineLevel="1" x14ac:dyDescent="0.25">
      <c r="A85" s="154">
        <v>5</v>
      </c>
      <c r="B85" s="155" t="s">
        <v>473</v>
      </c>
      <c r="C85" s="174">
        <v>1484</v>
      </c>
      <c r="D85" s="174">
        <v>1484</v>
      </c>
      <c r="E85" s="174">
        <v>0</v>
      </c>
      <c r="F85" s="174">
        <v>496</v>
      </c>
      <c r="G85" s="174">
        <v>496</v>
      </c>
      <c r="H85" s="174">
        <v>0</v>
      </c>
      <c r="I85" s="176">
        <f t="shared" si="1"/>
        <v>33.423180592991912</v>
      </c>
      <c r="J85" s="176">
        <f t="shared" si="1"/>
        <v>33.423180592991912</v>
      </c>
      <c r="K85" s="176">
        <f t="shared" si="1"/>
        <v>0</v>
      </c>
      <c r="L85" s="167"/>
      <c r="M85" s="127"/>
    </row>
    <row r="86" spans="1:13" hidden="1" outlineLevel="1" x14ac:dyDescent="0.25">
      <c r="A86" s="154" t="s">
        <v>474</v>
      </c>
      <c r="B86" s="155" t="s">
        <v>214</v>
      </c>
      <c r="C86" s="174">
        <v>1288</v>
      </c>
      <c r="D86" s="174">
        <v>1288</v>
      </c>
      <c r="E86" s="174">
        <v>0</v>
      </c>
      <c r="F86" s="174">
        <v>300</v>
      </c>
      <c r="G86" s="174">
        <v>300</v>
      </c>
      <c r="H86" s="174"/>
      <c r="I86" s="176">
        <f t="shared" si="1"/>
        <v>23.29192546583851</v>
      </c>
      <c r="J86" s="176">
        <f t="shared" si="1"/>
        <v>23.29192546583851</v>
      </c>
      <c r="K86" s="176">
        <f t="shared" si="1"/>
        <v>0</v>
      </c>
      <c r="L86" s="167"/>
      <c r="M86" s="127"/>
    </row>
    <row r="87" spans="1:13" ht="25.5" hidden="1" outlineLevel="1" x14ac:dyDescent="0.25">
      <c r="A87" s="154" t="s">
        <v>475</v>
      </c>
      <c r="B87" s="155" t="s">
        <v>215</v>
      </c>
      <c r="C87" s="174">
        <v>196</v>
      </c>
      <c r="D87" s="174">
        <v>196</v>
      </c>
      <c r="E87" s="174">
        <v>0</v>
      </c>
      <c r="F87" s="174">
        <v>196</v>
      </c>
      <c r="G87" s="174">
        <v>196</v>
      </c>
      <c r="H87" s="174"/>
      <c r="I87" s="176">
        <f t="shared" si="1"/>
        <v>100</v>
      </c>
      <c r="J87" s="176">
        <f t="shared" si="1"/>
        <v>100</v>
      </c>
      <c r="K87" s="176">
        <f t="shared" si="1"/>
        <v>0</v>
      </c>
      <c r="L87" s="167"/>
      <c r="M87" s="127"/>
    </row>
    <row r="88" spans="1:13" ht="38.25" hidden="1" outlineLevel="1" x14ac:dyDescent="0.25">
      <c r="A88" s="154">
        <v>6</v>
      </c>
      <c r="B88" s="155" t="s">
        <v>216</v>
      </c>
      <c r="C88" s="174">
        <v>29575</v>
      </c>
      <c r="D88" s="174">
        <v>29575</v>
      </c>
      <c r="E88" s="174">
        <v>0</v>
      </c>
      <c r="F88" s="174">
        <v>29575</v>
      </c>
      <c r="G88" s="174">
        <v>29575</v>
      </c>
      <c r="H88" s="174"/>
      <c r="I88" s="176">
        <f t="shared" si="1"/>
        <v>100</v>
      </c>
      <c r="J88" s="176">
        <f t="shared" si="1"/>
        <v>100</v>
      </c>
      <c r="K88" s="176">
        <f t="shared" si="1"/>
        <v>0</v>
      </c>
      <c r="L88" s="167"/>
      <c r="M88" s="127"/>
    </row>
    <row r="89" spans="1:13" ht="25.5" hidden="1" outlineLevel="1" x14ac:dyDescent="0.25">
      <c r="A89" s="154">
        <v>7</v>
      </c>
      <c r="B89" s="155" t="s">
        <v>217</v>
      </c>
      <c r="C89" s="174">
        <v>6381</v>
      </c>
      <c r="D89" s="174">
        <v>6381</v>
      </c>
      <c r="E89" s="174">
        <v>0</v>
      </c>
      <c r="F89" s="174">
        <v>6381</v>
      </c>
      <c r="G89" s="174">
        <v>6381</v>
      </c>
      <c r="H89" s="174"/>
      <c r="I89" s="176">
        <f t="shared" si="1"/>
        <v>100</v>
      </c>
      <c r="J89" s="176">
        <f t="shared" si="1"/>
        <v>100</v>
      </c>
      <c r="K89" s="176">
        <f t="shared" si="1"/>
        <v>0</v>
      </c>
      <c r="L89" s="167"/>
      <c r="M89" s="127"/>
    </row>
    <row r="90" spans="1:13" ht="25.5" hidden="1" outlineLevel="1" x14ac:dyDescent="0.25">
      <c r="A90" s="154">
        <v>8</v>
      </c>
      <c r="B90" s="155" t="s">
        <v>476</v>
      </c>
      <c r="C90" s="174">
        <v>4155</v>
      </c>
      <c r="D90" s="174">
        <v>2156</v>
      </c>
      <c r="E90" s="174">
        <v>1999</v>
      </c>
      <c r="F90" s="174">
        <v>4071.29</v>
      </c>
      <c r="G90" s="174">
        <v>2151.8000000000002</v>
      </c>
      <c r="H90" s="174">
        <v>1919.49</v>
      </c>
      <c r="I90" s="176">
        <f t="shared" si="1"/>
        <v>97.985318892900125</v>
      </c>
      <c r="J90" s="176">
        <f t="shared" si="1"/>
        <v>99.805194805194816</v>
      </c>
      <c r="K90" s="176">
        <f t="shared" si="1"/>
        <v>96.022511255627819</v>
      </c>
      <c r="L90" s="167"/>
      <c r="M90" s="127"/>
    </row>
    <row r="91" spans="1:13" ht="25.5" hidden="1" outlineLevel="1" x14ac:dyDescent="0.25">
      <c r="A91" s="160" t="s">
        <v>12</v>
      </c>
      <c r="B91" s="155" t="s">
        <v>218</v>
      </c>
      <c r="C91" s="174">
        <v>1020</v>
      </c>
      <c r="D91" s="174">
        <v>0</v>
      </c>
      <c r="E91" s="174">
        <v>1020</v>
      </c>
      <c r="F91" s="174">
        <v>1015</v>
      </c>
      <c r="G91" s="174"/>
      <c r="H91" s="174">
        <v>1015</v>
      </c>
      <c r="I91" s="176">
        <f t="shared" si="1"/>
        <v>99.509803921568633</v>
      </c>
      <c r="J91" s="176">
        <f t="shared" si="1"/>
        <v>0</v>
      </c>
      <c r="K91" s="176">
        <f t="shared" si="1"/>
        <v>99.509803921568633</v>
      </c>
      <c r="L91" s="167"/>
      <c r="M91" s="127"/>
    </row>
    <row r="92" spans="1:13" ht="25.5" hidden="1" outlineLevel="1" x14ac:dyDescent="0.25">
      <c r="A92" s="160" t="s">
        <v>12</v>
      </c>
      <c r="B92" s="155" t="s">
        <v>219</v>
      </c>
      <c r="C92" s="174">
        <v>1110</v>
      </c>
      <c r="D92" s="174">
        <v>131</v>
      </c>
      <c r="E92" s="174">
        <v>979</v>
      </c>
      <c r="F92" s="174">
        <v>1031.29</v>
      </c>
      <c r="G92" s="174">
        <v>126.8</v>
      </c>
      <c r="H92" s="174">
        <v>904.49</v>
      </c>
      <c r="I92" s="176">
        <f t="shared" si="1"/>
        <v>92.909009009008997</v>
      </c>
      <c r="J92" s="176">
        <f t="shared" si="1"/>
        <v>96.793893129770993</v>
      </c>
      <c r="K92" s="176">
        <f t="shared" si="1"/>
        <v>92.389172625127685</v>
      </c>
      <c r="L92" s="167"/>
      <c r="M92" s="127"/>
    </row>
    <row r="93" spans="1:13" ht="38.25" hidden="1" outlineLevel="1" x14ac:dyDescent="0.25">
      <c r="A93" s="160" t="s">
        <v>12</v>
      </c>
      <c r="B93" s="155" t="s">
        <v>220</v>
      </c>
      <c r="C93" s="174">
        <v>726</v>
      </c>
      <c r="D93" s="174">
        <v>726</v>
      </c>
      <c r="E93" s="174">
        <v>0</v>
      </c>
      <c r="F93" s="174">
        <v>726</v>
      </c>
      <c r="G93" s="174">
        <v>726</v>
      </c>
      <c r="H93" s="174"/>
      <c r="I93" s="176">
        <f t="shared" si="1"/>
        <v>100</v>
      </c>
      <c r="J93" s="176">
        <f t="shared" si="1"/>
        <v>100</v>
      </c>
      <c r="K93" s="176">
        <f t="shared" si="1"/>
        <v>0</v>
      </c>
      <c r="L93" s="167"/>
      <c r="M93" s="127"/>
    </row>
    <row r="94" spans="1:13" ht="38.25" hidden="1" outlineLevel="1" x14ac:dyDescent="0.25">
      <c r="A94" s="160" t="s">
        <v>12</v>
      </c>
      <c r="B94" s="155" t="s">
        <v>477</v>
      </c>
      <c r="C94" s="174">
        <v>1299</v>
      </c>
      <c r="D94" s="174">
        <v>1299</v>
      </c>
      <c r="E94" s="174">
        <v>0</v>
      </c>
      <c r="F94" s="174">
        <v>1299</v>
      </c>
      <c r="G94" s="174">
        <v>1299</v>
      </c>
      <c r="H94" s="174"/>
      <c r="I94" s="176">
        <f t="shared" si="1"/>
        <v>100</v>
      </c>
      <c r="J94" s="176">
        <f t="shared" si="1"/>
        <v>100</v>
      </c>
      <c r="K94" s="176">
        <f t="shared" si="1"/>
        <v>0</v>
      </c>
      <c r="L94" s="167"/>
      <c r="M94" s="127"/>
    </row>
    <row r="95" spans="1:13" ht="89.25" hidden="1" outlineLevel="1" x14ac:dyDescent="0.25">
      <c r="A95" s="160">
        <v>9</v>
      </c>
      <c r="B95" s="161" t="s">
        <v>478</v>
      </c>
      <c r="C95" s="174">
        <v>28593</v>
      </c>
      <c r="D95" s="174">
        <v>11109</v>
      </c>
      <c r="E95" s="174">
        <v>17484</v>
      </c>
      <c r="F95" s="174">
        <v>28830.422448999998</v>
      </c>
      <c r="G95" s="174">
        <v>11820.532449</v>
      </c>
      <c r="H95" s="174">
        <v>17009.89</v>
      </c>
      <c r="I95" s="176">
        <f t="shared" si="1"/>
        <v>100.83035165599972</v>
      </c>
      <c r="J95" s="176">
        <f t="shared" si="1"/>
        <v>106.40500899270862</v>
      </c>
      <c r="K95" s="176">
        <f t="shared" si="1"/>
        <v>97.288320750400359</v>
      </c>
      <c r="L95" s="167"/>
      <c r="M95" s="127"/>
    </row>
    <row r="96" spans="1:13" ht="25.5" hidden="1" outlineLevel="1" x14ac:dyDescent="0.25">
      <c r="A96" s="154" t="s">
        <v>479</v>
      </c>
      <c r="B96" s="155" t="s">
        <v>221</v>
      </c>
      <c r="C96" s="174">
        <v>10777</v>
      </c>
      <c r="D96" s="174">
        <v>940</v>
      </c>
      <c r="E96" s="174">
        <v>9837</v>
      </c>
      <c r="F96" s="174">
        <v>10737</v>
      </c>
      <c r="G96" s="174">
        <v>900</v>
      </c>
      <c r="H96" s="174">
        <v>9837</v>
      </c>
      <c r="I96" s="176">
        <f t="shared" si="1"/>
        <v>99.628839194581047</v>
      </c>
      <c r="J96" s="176">
        <f t="shared" si="1"/>
        <v>95.744680851063833</v>
      </c>
      <c r="K96" s="176">
        <f t="shared" si="1"/>
        <v>100</v>
      </c>
      <c r="L96" s="167"/>
      <c r="M96" s="127"/>
    </row>
    <row r="97" spans="1:13" ht="25.5" hidden="1" outlineLevel="1" x14ac:dyDescent="0.25">
      <c r="A97" s="154" t="s">
        <v>480</v>
      </c>
      <c r="B97" s="155" t="s">
        <v>222</v>
      </c>
      <c r="C97" s="174">
        <v>6815</v>
      </c>
      <c r="D97" s="174">
        <v>0</v>
      </c>
      <c r="E97" s="174">
        <v>6815</v>
      </c>
      <c r="F97" s="174">
        <v>6400.39</v>
      </c>
      <c r="G97" s="174"/>
      <c r="H97" s="174">
        <v>6400.39</v>
      </c>
      <c r="I97" s="176">
        <f t="shared" si="1"/>
        <v>93.916214233308878</v>
      </c>
      <c r="J97" s="176">
        <f t="shared" si="1"/>
        <v>0</v>
      </c>
      <c r="K97" s="176">
        <f t="shared" si="1"/>
        <v>93.916214233308878</v>
      </c>
      <c r="L97" s="167"/>
      <c r="M97" s="127"/>
    </row>
    <row r="98" spans="1:13" ht="25.5" hidden="1" outlineLevel="1" x14ac:dyDescent="0.25">
      <c r="A98" s="154" t="s">
        <v>481</v>
      </c>
      <c r="B98" s="155" t="s">
        <v>223</v>
      </c>
      <c r="C98" s="174">
        <v>1261</v>
      </c>
      <c r="D98" s="174">
        <v>429</v>
      </c>
      <c r="E98" s="174">
        <v>832</v>
      </c>
      <c r="F98" s="174">
        <v>1231.5</v>
      </c>
      <c r="G98" s="174">
        <v>459</v>
      </c>
      <c r="H98" s="174">
        <v>772.5</v>
      </c>
      <c r="I98" s="176">
        <f t="shared" si="1"/>
        <v>97.660586835844569</v>
      </c>
      <c r="J98" s="176">
        <f t="shared" si="1"/>
        <v>106.993006993007</v>
      </c>
      <c r="K98" s="176">
        <f t="shared" si="1"/>
        <v>92.848557692307693</v>
      </c>
      <c r="L98" s="167"/>
      <c r="M98" s="127"/>
    </row>
    <row r="99" spans="1:13" ht="25.5" hidden="1" outlineLevel="1" x14ac:dyDescent="0.25">
      <c r="A99" s="154" t="s">
        <v>482</v>
      </c>
      <c r="B99" s="155" t="s">
        <v>224</v>
      </c>
      <c r="C99" s="174">
        <v>9740</v>
      </c>
      <c r="D99" s="174">
        <v>9740</v>
      </c>
      <c r="E99" s="174">
        <v>0</v>
      </c>
      <c r="F99" s="174">
        <v>10461.532449</v>
      </c>
      <c r="G99" s="174">
        <v>10461.532449</v>
      </c>
      <c r="H99" s="174"/>
      <c r="I99" s="176">
        <f t="shared" si="1"/>
        <v>107.40793068788501</v>
      </c>
      <c r="J99" s="176">
        <f t="shared" si="1"/>
        <v>107.40793068788501</v>
      </c>
      <c r="K99" s="176">
        <f t="shared" si="1"/>
        <v>0</v>
      </c>
      <c r="L99" s="167"/>
      <c r="M99" s="127"/>
    </row>
    <row r="100" spans="1:13" ht="25.5" hidden="1" outlineLevel="1" x14ac:dyDescent="0.25">
      <c r="A100" s="160">
        <v>10</v>
      </c>
      <c r="B100" s="155" t="s">
        <v>483</v>
      </c>
      <c r="C100" s="174">
        <v>5711</v>
      </c>
      <c r="D100" s="174">
        <v>5144</v>
      </c>
      <c r="E100" s="174">
        <v>567</v>
      </c>
      <c r="F100" s="174">
        <v>5747</v>
      </c>
      <c r="G100" s="174">
        <v>5144</v>
      </c>
      <c r="H100" s="174">
        <v>603</v>
      </c>
      <c r="I100" s="176">
        <f t="shared" si="1"/>
        <v>100.63036245841359</v>
      </c>
      <c r="J100" s="176">
        <f t="shared" si="1"/>
        <v>100</v>
      </c>
      <c r="K100" s="176">
        <f t="shared" si="1"/>
        <v>106.34920634920636</v>
      </c>
      <c r="L100" s="167"/>
      <c r="M100" s="127"/>
    </row>
    <row r="101" spans="1:13" ht="25.5" hidden="1" outlineLevel="1" x14ac:dyDescent="0.25">
      <c r="A101" s="160">
        <v>11</v>
      </c>
      <c r="B101" s="155" t="s">
        <v>484</v>
      </c>
      <c r="C101" s="174">
        <v>9580</v>
      </c>
      <c r="D101" s="174">
        <v>8622</v>
      </c>
      <c r="E101" s="174">
        <v>958</v>
      </c>
      <c r="F101" s="174">
        <v>9030.2000000000007</v>
      </c>
      <c r="G101" s="174">
        <v>8125</v>
      </c>
      <c r="H101" s="174">
        <v>905.2</v>
      </c>
      <c r="I101" s="176">
        <f t="shared" si="1"/>
        <v>94.260960334029235</v>
      </c>
      <c r="J101" s="176">
        <f t="shared" si="1"/>
        <v>94.235676177221066</v>
      </c>
      <c r="K101" s="176">
        <f t="shared" si="1"/>
        <v>94.488517745302715</v>
      </c>
      <c r="L101" s="167"/>
      <c r="M101" s="127"/>
    </row>
    <row r="102" spans="1:13" ht="25.5" hidden="1" outlineLevel="1" x14ac:dyDescent="0.25">
      <c r="A102" s="160">
        <v>12</v>
      </c>
      <c r="B102" s="155" t="s">
        <v>485</v>
      </c>
      <c r="C102" s="174">
        <v>44194</v>
      </c>
      <c r="D102" s="174">
        <v>44194</v>
      </c>
      <c r="E102" s="174">
        <v>0</v>
      </c>
      <c r="F102" s="174">
        <v>43769.3</v>
      </c>
      <c r="G102" s="174">
        <v>43769.3</v>
      </c>
      <c r="H102" s="174"/>
      <c r="I102" s="176">
        <f t="shared" si="1"/>
        <v>99.039009820337611</v>
      </c>
      <c r="J102" s="176">
        <f t="shared" si="1"/>
        <v>99.039009820337611</v>
      </c>
      <c r="K102" s="176">
        <f t="shared" si="1"/>
        <v>0</v>
      </c>
      <c r="L102" s="167"/>
      <c r="M102" s="127"/>
    </row>
    <row r="103" spans="1:13" hidden="1" outlineLevel="1" x14ac:dyDescent="0.25">
      <c r="A103" s="154">
        <v>13</v>
      </c>
      <c r="B103" s="155" t="s">
        <v>247</v>
      </c>
      <c r="C103" s="174">
        <v>167</v>
      </c>
      <c r="D103" s="174">
        <v>167</v>
      </c>
      <c r="E103" s="174">
        <v>0</v>
      </c>
      <c r="F103" s="174">
        <v>167</v>
      </c>
      <c r="G103" s="174">
        <v>167</v>
      </c>
      <c r="H103" s="174"/>
      <c r="I103" s="176">
        <f t="shared" si="1"/>
        <v>100</v>
      </c>
      <c r="J103" s="176">
        <f t="shared" si="1"/>
        <v>100</v>
      </c>
      <c r="K103" s="176">
        <f t="shared" si="1"/>
        <v>0</v>
      </c>
      <c r="L103" s="167"/>
      <c r="M103" s="127"/>
    </row>
    <row r="104" spans="1:13" ht="25.5" hidden="1" outlineLevel="1" x14ac:dyDescent="0.25">
      <c r="A104" s="154">
        <v>14</v>
      </c>
      <c r="B104" s="155" t="s">
        <v>486</v>
      </c>
      <c r="C104" s="174">
        <v>500</v>
      </c>
      <c r="D104" s="174">
        <v>500</v>
      </c>
      <c r="E104" s="174">
        <v>0</v>
      </c>
      <c r="F104" s="174">
        <v>0</v>
      </c>
      <c r="G104" s="174">
        <v>0</v>
      </c>
      <c r="H104" s="174"/>
      <c r="I104" s="176">
        <f t="shared" si="1"/>
        <v>0</v>
      </c>
      <c r="J104" s="176">
        <f t="shared" si="1"/>
        <v>0</v>
      </c>
      <c r="K104" s="176">
        <f t="shared" si="1"/>
        <v>0</v>
      </c>
      <c r="L104" s="167"/>
      <c r="M104" s="127"/>
    </row>
    <row r="105" spans="1:13" hidden="1" outlineLevel="1" x14ac:dyDescent="0.25">
      <c r="A105" s="154">
        <v>15</v>
      </c>
      <c r="B105" s="155" t="s">
        <v>248</v>
      </c>
      <c r="C105" s="174">
        <v>5000</v>
      </c>
      <c r="D105" s="174">
        <v>5000</v>
      </c>
      <c r="E105" s="174">
        <v>0</v>
      </c>
      <c r="F105" s="174">
        <v>5000</v>
      </c>
      <c r="G105" s="174">
        <v>5000</v>
      </c>
      <c r="H105" s="174"/>
      <c r="I105" s="176">
        <f t="shared" si="1"/>
        <v>100</v>
      </c>
      <c r="J105" s="176">
        <f t="shared" si="1"/>
        <v>100</v>
      </c>
      <c r="K105" s="176">
        <f t="shared" si="1"/>
        <v>0</v>
      </c>
      <c r="L105" s="167"/>
      <c r="M105" s="127"/>
    </row>
    <row r="106" spans="1:13" collapsed="1" x14ac:dyDescent="0.25">
      <c r="A106" s="158" t="s">
        <v>31</v>
      </c>
      <c r="B106" s="151" t="s">
        <v>76</v>
      </c>
      <c r="C106" s="142">
        <v>0</v>
      </c>
      <c r="D106" s="142"/>
      <c r="E106" s="142"/>
      <c r="F106" s="142">
        <v>2204821.649613</v>
      </c>
      <c r="G106" s="142">
        <v>1326874.6171550001</v>
      </c>
      <c r="H106" s="142">
        <v>877946.73245800007</v>
      </c>
      <c r="I106" s="172">
        <f t="shared" si="1"/>
        <v>0</v>
      </c>
      <c r="J106" s="172">
        <f t="shared" si="1"/>
        <v>0</v>
      </c>
      <c r="K106" s="172">
        <f t="shared" si="1"/>
        <v>0</v>
      </c>
      <c r="L106" s="167"/>
      <c r="M106" s="127"/>
    </row>
    <row r="107" spans="1:13" x14ac:dyDescent="0.25">
      <c r="A107" s="192" t="s">
        <v>32</v>
      </c>
      <c r="B107" s="193" t="s">
        <v>249</v>
      </c>
      <c r="C107" s="194">
        <v>0</v>
      </c>
      <c r="D107" s="194"/>
      <c r="E107" s="194"/>
      <c r="F107" s="194">
        <v>429889.49046399997</v>
      </c>
      <c r="G107" s="194">
        <v>331567.81606899999</v>
      </c>
      <c r="H107" s="194">
        <v>98321.674394999995</v>
      </c>
      <c r="I107" s="195">
        <f t="shared" si="1"/>
        <v>0</v>
      </c>
      <c r="J107" s="195">
        <f t="shared" si="1"/>
        <v>0</v>
      </c>
      <c r="K107" s="195">
        <f t="shared" si="1"/>
        <v>0</v>
      </c>
      <c r="L107" s="167"/>
      <c r="M107" s="127"/>
    </row>
    <row r="109" spans="1:13" ht="27" customHeight="1" x14ac:dyDescent="0.25">
      <c r="A109" s="360" t="s">
        <v>492</v>
      </c>
      <c r="B109" s="360"/>
      <c r="C109" s="360"/>
      <c r="D109" s="360"/>
      <c r="E109" s="360"/>
      <c r="F109" s="360"/>
      <c r="G109" s="360"/>
      <c r="H109" s="360"/>
      <c r="I109" s="360"/>
      <c r="J109" s="360"/>
      <c r="K109" s="360"/>
    </row>
  </sheetData>
  <mergeCells count="11">
    <mergeCell ref="A109:K109"/>
    <mergeCell ref="A2:K2"/>
    <mergeCell ref="A3:K3"/>
    <mergeCell ref="J4:K4"/>
    <mergeCell ref="A5:A6"/>
    <mergeCell ref="B5:B6"/>
    <mergeCell ref="C5:C6"/>
    <mergeCell ref="D5:E5"/>
    <mergeCell ref="F5:F6"/>
    <mergeCell ref="G5:H5"/>
    <mergeCell ref="I5:K5"/>
  </mergeCells>
  <dataValidations count="2">
    <dataValidation allowBlank="1" showInputMessage="1" showErrorMessage="1" prompt="Chưa bao gồm chi chuyển giao ngân sách _x000a_" sqref="G8" xr:uid="{00000000-0002-0000-0700-000000000000}"/>
    <dataValidation allowBlank="1" showInputMessage="1" showErrorMessage="1" prompt="Chưa bao gồm chi chuyển giao ngân sách " sqref="F8 H8" xr:uid="{00000000-0002-0000-0700-000001000000}"/>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2"/>
  <sheetViews>
    <sheetView topLeftCell="A19" workbookViewId="0">
      <selection activeCell="C39" sqref="C39"/>
    </sheetView>
  </sheetViews>
  <sheetFormatPr defaultColWidth="9.140625" defaultRowHeight="15" x14ac:dyDescent="0.25"/>
  <cols>
    <col min="1" max="1" width="5.42578125" style="222" customWidth="1"/>
    <col min="2" max="2" width="37" style="200" customWidth="1"/>
    <col min="3" max="3" width="13" style="200" customWidth="1"/>
    <col min="4" max="4" width="12.28515625" style="200" customWidth="1"/>
    <col min="5" max="5" width="11.28515625" style="200" customWidth="1"/>
    <col min="6" max="6" width="12.140625" style="200" customWidth="1"/>
    <col min="7" max="7" width="18.7109375" style="200" customWidth="1"/>
    <col min="8" max="8" width="11.140625" style="200" customWidth="1"/>
    <col min="9" max="16384" width="9.140625" style="200"/>
  </cols>
  <sheetData>
    <row r="1" spans="1:14" x14ac:dyDescent="0.25">
      <c r="A1" s="199"/>
      <c r="E1" s="201" t="s">
        <v>493</v>
      </c>
    </row>
    <row r="2" spans="1:14" ht="24.75" customHeight="1" x14ac:dyDescent="0.25">
      <c r="A2" s="365" t="s">
        <v>494</v>
      </c>
      <c r="B2" s="365"/>
      <c r="C2" s="365"/>
      <c r="D2" s="365"/>
      <c r="E2" s="365"/>
      <c r="F2" s="365"/>
    </row>
    <row r="3" spans="1:14" x14ac:dyDescent="0.25">
      <c r="A3" s="361" t="s">
        <v>489</v>
      </c>
      <c r="B3" s="361"/>
      <c r="C3" s="361"/>
      <c r="D3" s="361"/>
      <c r="E3" s="361"/>
      <c r="F3" s="361"/>
    </row>
    <row r="4" spans="1:14" x14ac:dyDescent="0.25">
      <c r="A4" s="202"/>
      <c r="B4" s="203"/>
      <c r="C4" s="203"/>
      <c r="D4" s="203"/>
      <c r="E4" s="366" t="s">
        <v>490</v>
      </c>
      <c r="F4" s="366"/>
    </row>
    <row r="5" spans="1:14" x14ac:dyDescent="0.25">
      <c r="A5" s="367" t="s">
        <v>2</v>
      </c>
      <c r="B5" s="367" t="s">
        <v>123</v>
      </c>
      <c r="C5" s="367" t="s">
        <v>107</v>
      </c>
      <c r="D5" s="367" t="s">
        <v>108</v>
      </c>
      <c r="E5" s="367" t="s">
        <v>495</v>
      </c>
      <c r="F5" s="367"/>
      <c r="G5" s="205"/>
      <c r="H5" s="206"/>
      <c r="I5" s="206"/>
      <c r="J5" s="206"/>
      <c r="K5" s="206"/>
    </row>
    <row r="6" spans="1:14" ht="25.5" x14ac:dyDescent="0.25">
      <c r="A6" s="367"/>
      <c r="B6" s="367"/>
      <c r="C6" s="367"/>
      <c r="D6" s="367"/>
      <c r="E6" s="204" t="s">
        <v>496</v>
      </c>
      <c r="F6" s="204" t="s">
        <v>497</v>
      </c>
      <c r="G6" s="205"/>
      <c r="H6" s="206"/>
      <c r="I6" s="206"/>
      <c r="J6" s="206"/>
      <c r="K6" s="206"/>
    </row>
    <row r="7" spans="1:14" x14ac:dyDescent="0.25">
      <c r="A7" s="204" t="s">
        <v>7</v>
      </c>
      <c r="B7" s="207" t="s">
        <v>8</v>
      </c>
      <c r="C7" s="207" t="s">
        <v>259</v>
      </c>
      <c r="D7" s="207" t="s">
        <v>261</v>
      </c>
      <c r="E7" s="204" t="s">
        <v>498</v>
      </c>
      <c r="F7" s="204" t="s">
        <v>499</v>
      </c>
      <c r="H7" s="208">
        <f>D8+'[1]Bieu 54_'!T116</f>
        <v>8083350.7662559999</v>
      </c>
      <c r="I7" s="206"/>
      <c r="J7" s="206"/>
      <c r="K7" s="206"/>
    </row>
    <row r="8" spans="1:14" ht="18" customHeight="1" x14ac:dyDescent="0.25">
      <c r="A8" s="209"/>
      <c r="B8" s="210" t="s">
        <v>20</v>
      </c>
      <c r="C8" s="211">
        <f>C9+C10+C47+C48</f>
        <v>6517057.4886699999</v>
      </c>
      <c r="D8" s="211">
        <f>D9+D10+D47+D48</f>
        <v>7549860.6582559999</v>
      </c>
      <c r="E8" s="211">
        <f>E9+E10+E47+E48</f>
        <v>1032803.1695860004</v>
      </c>
      <c r="F8" s="212">
        <f t="shared" ref="F8:F12" si="0">IF(C8=0,0,D8/C8*100)</f>
        <v>115.84769155990328</v>
      </c>
      <c r="G8" s="205"/>
      <c r="H8" s="208">
        <f>H9-D8</f>
        <v>532301.65380400047</v>
      </c>
      <c r="I8" s="208"/>
      <c r="J8" s="206"/>
      <c r="K8" s="206"/>
    </row>
    <row r="9" spans="1:14" ht="25.5" x14ac:dyDescent="0.25">
      <c r="A9" s="156" t="s">
        <v>7</v>
      </c>
      <c r="B9" s="157" t="s">
        <v>500</v>
      </c>
      <c r="C9" s="213">
        <v>2007071</v>
      </c>
      <c r="D9" s="213">
        <f>C9</f>
        <v>2007071</v>
      </c>
      <c r="E9" s="213">
        <f t="shared" ref="E9:E12" si="1">D9-C9</f>
        <v>0</v>
      </c>
      <c r="F9" s="214">
        <f t="shared" si="0"/>
        <v>100</v>
      </c>
      <c r="H9" s="206">
        <v>8082162.3120600004</v>
      </c>
      <c r="I9" s="208"/>
      <c r="J9" s="206"/>
      <c r="K9" s="206"/>
    </row>
    <row r="10" spans="1:14" ht="25.5" x14ac:dyDescent="0.25">
      <c r="A10" s="156" t="s">
        <v>8</v>
      </c>
      <c r="B10" s="157" t="s">
        <v>501</v>
      </c>
      <c r="C10" s="213">
        <f>C11+C27+C40+C41+C42+C44+C45+C43</f>
        <v>4509986.4886699999</v>
      </c>
      <c r="D10" s="213">
        <f>D11+D27+D40+D41+D42+D44+D45+D46+D43</f>
        <v>3884347.2252560002</v>
      </c>
      <c r="E10" s="213">
        <f t="shared" si="1"/>
        <v>-625639.2634139997</v>
      </c>
      <c r="F10" s="214">
        <f t="shared" si="0"/>
        <v>86.127690959036514</v>
      </c>
      <c r="G10" s="205"/>
      <c r="H10" s="208">
        <f>H9-D8</f>
        <v>532301.65380400047</v>
      </c>
      <c r="I10" s="208"/>
      <c r="J10" s="206"/>
      <c r="K10" s="206"/>
    </row>
    <row r="11" spans="1:14" x14ac:dyDescent="0.25">
      <c r="A11" s="156" t="s">
        <v>39</v>
      </c>
      <c r="B11" s="157" t="s">
        <v>155</v>
      </c>
      <c r="C11" s="213">
        <f>C12+C25+C26</f>
        <v>1748520.58867</v>
      </c>
      <c r="D11" s="213">
        <f>D12+D25+D26</f>
        <v>1952820.160159</v>
      </c>
      <c r="E11" s="213">
        <f t="shared" si="1"/>
        <v>204299.57148899999</v>
      </c>
      <c r="F11" s="214">
        <f t="shared" si="0"/>
        <v>111.68413874064811</v>
      </c>
      <c r="H11" s="208">
        <f>D8-D9</f>
        <v>5542789.6582559999</v>
      </c>
      <c r="I11" s="208">
        <f>H11+'[1]Bieu 54_'!T116</f>
        <v>6076279.7662559999</v>
      </c>
      <c r="J11" s="206"/>
      <c r="K11" s="206"/>
    </row>
    <row r="12" spans="1:14" x14ac:dyDescent="0.25">
      <c r="A12" s="156">
        <v>1</v>
      </c>
      <c r="B12" s="157" t="s">
        <v>66</v>
      </c>
      <c r="C12" s="213">
        <f>SUM(C13:C24)</f>
        <v>1748520.58867</v>
      </c>
      <c r="D12" s="213">
        <f>SUM(D13:D24)</f>
        <v>1943224.160159</v>
      </c>
      <c r="E12" s="213">
        <f t="shared" si="1"/>
        <v>194703.57148899999</v>
      </c>
      <c r="F12" s="214">
        <f t="shared" si="0"/>
        <v>111.13533193435829</v>
      </c>
      <c r="H12" s="206"/>
      <c r="I12" s="206"/>
      <c r="J12" s="208"/>
      <c r="K12" s="206"/>
    </row>
    <row r="13" spans="1:14" x14ac:dyDescent="0.25">
      <c r="A13" s="154" t="s">
        <v>78</v>
      </c>
      <c r="B13" s="155" t="s">
        <v>67</v>
      </c>
      <c r="C13" s="215">
        <v>41847.006000000001</v>
      </c>
      <c r="D13" s="215">
        <v>46781.483200000002</v>
      </c>
      <c r="E13" s="215">
        <f>D13-C13</f>
        <v>4934.4772000000012</v>
      </c>
      <c r="F13" s="216">
        <f>IF(C13=0,0,D13/C13*100)</f>
        <v>111.79170906515989</v>
      </c>
      <c r="G13" s="205"/>
      <c r="H13" s="206"/>
      <c r="I13" s="208"/>
      <c r="J13" s="206"/>
      <c r="K13" s="206"/>
    </row>
    <row r="14" spans="1:14" x14ac:dyDescent="0.25">
      <c r="A14" s="154" t="s">
        <v>79</v>
      </c>
      <c r="B14" s="155" t="s">
        <v>68</v>
      </c>
      <c r="C14" s="215">
        <v>27508.376</v>
      </c>
      <c r="D14" s="215">
        <v>17646.610184000001</v>
      </c>
      <c r="E14" s="215">
        <f>D14-C14</f>
        <v>-9861.7658159999992</v>
      </c>
      <c r="F14" s="216">
        <f t="shared" ref="F14:F48" si="2">IF(C14=0,0,D14/C14*100)</f>
        <v>64.149952668961632</v>
      </c>
      <c r="H14" s="208"/>
      <c r="I14" s="206"/>
      <c r="J14" s="208">
        <f>513733</f>
        <v>513733</v>
      </c>
      <c r="K14" s="206"/>
      <c r="N14" s="205"/>
    </row>
    <row r="15" spans="1:14" x14ac:dyDescent="0.25">
      <c r="A15" s="154" t="s">
        <v>80</v>
      </c>
      <c r="B15" s="155" t="s">
        <v>81</v>
      </c>
      <c r="C15" s="215">
        <v>70854.079670000006</v>
      </c>
      <c r="D15" s="215">
        <v>76839.697169999999</v>
      </c>
      <c r="E15" s="215">
        <f t="shared" ref="E15:E26" si="3">D15-C15</f>
        <v>5985.617499999993</v>
      </c>
      <c r="F15" s="216">
        <f t="shared" si="2"/>
        <v>108.44780925513078</v>
      </c>
      <c r="H15" s="206"/>
      <c r="I15" s="206"/>
      <c r="J15" s="208">
        <f>C11-J14</f>
        <v>1234787.58867</v>
      </c>
      <c r="K15" s="206"/>
    </row>
    <row r="16" spans="1:14" x14ac:dyDescent="0.25">
      <c r="A16" s="154" t="s">
        <v>82</v>
      </c>
      <c r="B16" s="155" t="s">
        <v>83</v>
      </c>
      <c r="C16" s="215">
        <v>3619.26</v>
      </c>
      <c r="D16" s="217">
        <v>7563.8</v>
      </c>
      <c r="E16" s="215">
        <f t="shared" si="3"/>
        <v>3944.54</v>
      </c>
      <c r="F16" s="216">
        <f t="shared" si="2"/>
        <v>208.98747257726717</v>
      </c>
      <c r="H16" s="206"/>
      <c r="I16" s="206"/>
      <c r="J16" s="208"/>
      <c r="K16" s="206"/>
    </row>
    <row r="17" spans="1:11" x14ac:dyDescent="0.25">
      <c r="A17" s="154" t="s">
        <v>84</v>
      </c>
      <c r="B17" s="155" t="s">
        <v>85</v>
      </c>
      <c r="C17" s="215">
        <v>1200</v>
      </c>
      <c r="D17" s="215">
        <v>1933.806</v>
      </c>
      <c r="E17" s="215">
        <f t="shared" si="3"/>
        <v>733.80600000000004</v>
      </c>
      <c r="F17" s="216">
        <f t="shared" si="2"/>
        <v>161.15049999999999</v>
      </c>
      <c r="H17" s="206"/>
      <c r="I17" s="206"/>
      <c r="J17" s="206"/>
      <c r="K17" s="206"/>
    </row>
    <row r="18" spans="1:11" x14ac:dyDescent="0.25">
      <c r="A18" s="154" t="s">
        <v>86</v>
      </c>
      <c r="B18" s="155" t="s">
        <v>87</v>
      </c>
      <c r="C18" s="215">
        <v>16698</v>
      </c>
      <c r="D18" s="215">
        <v>2808.5709999999999</v>
      </c>
      <c r="E18" s="215">
        <f t="shared" si="3"/>
        <v>-13889.429</v>
      </c>
      <c r="F18" s="216">
        <f t="shared" si="2"/>
        <v>16.819804767037969</v>
      </c>
      <c r="H18" s="208"/>
      <c r="I18" s="206"/>
      <c r="J18" s="206"/>
      <c r="K18" s="206"/>
    </row>
    <row r="19" spans="1:11" x14ac:dyDescent="0.25">
      <c r="A19" s="154" t="s">
        <v>88</v>
      </c>
      <c r="B19" s="155" t="s">
        <v>89</v>
      </c>
      <c r="C19" s="215">
        <v>9945.4419999999991</v>
      </c>
      <c r="D19" s="215">
        <v>9827.9020400000009</v>
      </c>
      <c r="E19" s="215">
        <f t="shared" si="3"/>
        <v>-117.53995999999825</v>
      </c>
      <c r="F19" s="216">
        <f t="shared" si="2"/>
        <v>98.818152476280105</v>
      </c>
      <c r="H19" s="206"/>
      <c r="I19" s="206"/>
      <c r="J19" s="206"/>
      <c r="K19" s="206"/>
    </row>
    <row r="20" spans="1:11" x14ac:dyDescent="0.25">
      <c r="A20" s="154" t="s">
        <v>90</v>
      </c>
      <c r="B20" s="155" t="s">
        <v>91</v>
      </c>
      <c r="C20" s="215">
        <v>1399596.838</v>
      </c>
      <c r="D20" s="215">
        <f>1660954.771322-D43-D44</f>
        <v>1590367.258225</v>
      </c>
      <c r="E20" s="215">
        <f t="shared" si="3"/>
        <v>190770.42022500001</v>
      </c>
      <c r="F20" s="216">
        <f t="shared" si="2"/>
        <v>113.63038376805765</v>
      </c>
      <c r="H20" s="218"/>
      <c r="I20" s="206"/>
      <c r="J20" s="206"/>
      <c r="K20" s="206"/>
    </row>
    <row r="21" spans="1:11" ht="25.5" x14ac:dyDescent="0.25">
      <c r="A21" s="154" t="s">
        <v>92</v>
      </c>
      <c r="B21" s="155" t="s">
        <v>93</v>
      </c>
      <c r="C21" s="215">
        <v>49364.587</v>
      </c>
      <c r="D21" s="215">
        <v>56657.996232999998</v>
      </c>
      <c r="E21" s="215">
        <f t="shared" si="3"/>
        <v>7293.4092329999985</v>
      </c>
      <c r="F21" s="216">
        <f t="shared" si="2"/>
        <v>114.77457764003979</v>
      </c>
    </row>
    <row r="22" spans="1:11" x14ac:dyDescent="0.25">
      <c r="A22" s="154" t="s">
        <v>94</v>
      </c>
      <c r="B22" s="155" t="s">
        <v>95</v>
      </c>
      <c r="C22" s="215">
        <v>1354</v>
      </c>
      <c r="D22" s="215">
        <v>1354</v>
      </c>
      <c r="E22" s="215">
        <f t="shared" si="3"/>
        <v>0</v>
      </c>
      <c r="F22" s="216">
        <f t="shared" si="2"/>
        <v>100</v>
      </c>
    </row>
    <row r="23" spans="1:11" ht="25.5" x14ac:dyDescent="0.25">
      <c r="A23" s="154" t="s">
        <v>502</v>
      </c>
      <c r="B23" s="155" t="s">
        <v>503</v>
      </c>
      <c r="C23" s="215">
        <v>126533</v>
      </c>
      <c r="D23" s="215">
        <v>131443.03610699999</v>
      </c>
      <c r="E23" s="215">
        <f t="shared" si="3"/>
        <v>4910.0361069999926</v>
      </c>
      <c r="F23" s="216">
        <f t="shared" si="2"/>
        <v>103.88043917950259</v>
      </c>
    </row>
    <row r="24" spans="1:11" x14ac:dyDescent="0.25">
      <c r="A24" s="154" t="s">
        <v>504</v>
      </c>
      <c r="B24" s="155" t="s">
        <v>71</v>
      </c>
      <c r="C24" s="215"/>
      <c r="D24" s="215"/>
      <c r="E24" s="215">
        <f t="shared" si="3"/>
        <v>0</v>
      </c>
      <c r="F24" s="216">
        <f t="shared" si="2"/>
        <v>0</v>
      </c>
    </row>
    <row r="25" spans="1:11" ht="71.25" customHeight="1" x14ac:dyDescent="0.25">
      <c r="A25" s="156">
        <v>2</v>
      </c>
      <c r="B25" s="157" t="s">
        <v>202</v>
      </c>
      <c r="C25" s="213"/>
      <c r="D25" s="213">
        <v>9596</v>
      </c>
      <c r="E25" s="213">
        <f t="shared" si="3"/>
        <v>9596</v>
      </c>
      <c r="F25" s="214">
        <f t="shared" si="2"/>
        <v>0</v>
      </c>
    </row>
    <row r="26" spans="1:11" x14ac:dyDescent="0.25">
      <c r="A26" s="156">
        <v>3</v>
      </c>
      <c r="B26" s="157" t="s">
        <v>71</v>
      </c>
      <c r="C26" s="213">
        <v>0</v>
      </c>
      <c r="D26" s="213"/>
      <c r="E26" s="213">
        <f t="shared" si="3"/>
        <v>0</v>
      </c>
      <c r="F26" s="214">
        <f t="shared" si="2"/>
        <v>0</v>
      </c>
    </row>
    <row r="27" spans="1:11" x14ac:dyDescent="0.25">
      <c r="A27" s="156" t="s">
        <v>25</v>
      </c>
      <c r="B27" s="157" t="s">
        <v>22</v>
      </c>
      <c r="C27" s="213">
        <f>SUM(C28:C39)</f>
        <v>1779288.9</v>
      </c>
      <c r="D27" s="213">
        <f>SUM(D28:D39)</f>
        <v>1838539</v>
      </c>
      <c r="E27" s="213">
        <f>SUM(E28:E39)</f>
        <v>59250.099999999977</v>
      </c>
      <c r="F27" s="214">
        <f t="shared" si="2"/>
        <v>103.32998761471508</v>
      </c>
      <c r="H27" s="205"/>
      <c r="I27" s="205"/>
    </row>
    <row r="28" spans="1:11" x14ac:dyDescent="0.25">
      <c r="A28" s="154">
        <v>1</v>
      </c>
      <c r="B28" s="155" t="s">
        <v>67</v>
      </c>
      <c r="C28" s="215">
        <f>385819+2479+654+6637</f>
        <v>395589</v>
      </c>
      <c r="D28" s="215">
        <v>426326</v>
      </c>
      <c r="E28" s="215">
        <f t="shared" ref="E28:E48" si="4">D28-C28</f>
        <v>30737</v>
      </c>
      <c r="F28" s="216">
        <f t="shared" si="2"/>
        <v>107.76993293544564</v>
      </c>
      <c r="H28" s="205"/>
      <c r="J28" s="205"/>
    </row>
    <row r="29" spans="1:11" x14ac:dyDescent="0.25">
      <c r="A29" s="154">
        <v>2</v>
      </c>
      <c r="B29" s="155" t="s">
        <v>505</v>
      </c>
      <c r="C29" s="215">
        <f>14942+500</f>
        <v>15442</v>
      </c>
      <c r="D29" s="215">
        <v>7465</v>
      </c>
      <c r="E29" s="215">
        <f t="shared" si="4"/>
        <v>-7977</v>
      </c>
      <c r="F29" s="216">
        <f t="shared" si="2"/>
        <v>48.342183654966973</v>
      </c>
      <c r="H29" s="205"/>
    </row>
    <row r="30" spans="1:11" x14ac:dyDescent="0.25">
      <c r="A30" s="154">
        <v>3</v>
      </c>
      <c r="B30" s="155" t="s">
        <v>81</v>
      </c>
      <c r="C30" s="215">
        <f>484362+4683+29575+6381+2156</f>
        <v>527157</v>
      </c>
      <c r="D30" s="215">
        <v>574150</v>
      </c>
      <c r="E30" s="215">
        <f t="shared" si="4"/>
        <v>46993</v>
      </c>
      <c r="F30" s="216">
        <f t="shared" si="2"/>
        <v>108.91442207919081</v>
      </c>
    </row>
    <row r="31" spans="1:11" x14ac:dyDescent="0.25">
      <c r="A31" s="154">
        <v>4</v>
      </c>
      <c r="B31" s="155" t="s">
        <v>83</v>
      </c>
      <c r="C31" s="215">
        <v>42130</v>
      </c>
      <c r="D31" s="215">
        <v>32063</v>
      </c>
      <c r="E31" s="215">
        <f t="shared" si="4"/>
        <v>-10067</v>
      </c>
      <c r="F31" s="216">
        <f t="shared" si="2"/>
        <v>76.104913363399007</v>
      </c>
      <c r="H31" s="205"/>
    </row>
    <row r="32" spans="1:11" x14ac:dyDescent="0.25">
      <c r="A32" s="154">
        <v>5</v>
      </c>
      <c r="B32" s="155" t="s">
        <v>85</v>
      </c>
      <c r="C32" s="215">
        <v>16918</v>
      </c>
      <c r="D32" s="215">
        <v>17009</v>
      </c>
      <c r="E32" s="215">
        <f t="shared" si="4"/>
        <v>91</v>
      </c>
      <c r="F32" s="216">
        <f t="shared" si="2"/>
        <v>100.53788863931908</v>
      </c>
    </row>
    <row r="33" spans="1:9" x14ac:dyDescent="0.25">
      <c r="A33" s="154">
        <v>6</v>
      </c>
      <c r="B33" s="155" t="s">
        <v>87</v>
      </c>
      <c r="C33" s="215">
        <v>13216</v>
      </c>
      <c r="D33" s="215">
        <v>9172</v>
      </c>
      <c r="E33" s="215">
        <f t="shared" si="4"/>
        <v>-4044</v>
      </c>
      <c r="F33" s="216">
        <f t="shared" si="2"/>
        <v>69.400726392251826</v>
      </c>
    </row>
    <row r="34" spans="1:9" x14ac:dyDescent="0.25">
      <c r="A34" s="154">
        <v>7</v>
      </c>
      <c r="B34" s="155" t="s">
        <v>89</v>
      </c>
      <c r="C34" s="215">
        <v>5658</v>
      </c>
      <c r="D34" s="215">
        <v>4748</v>
      </c>
      <c r="E34" s="215">
        <f t="shared" si="4"/>
        <v>-910</v>
      </c>
      <c r="F34" s="216">
        <f t="shared" si="2"/>
        <v>83.91657829621775</v>
      </c>
    </row>
    <row r="35" spans="1:9" x14ac:dyDescent="0.25">
      <c r="A35" s="154">
        <v>8</v>
      </c>
      <c r="B35" s="155" t="s">
        <v>91</v>
      </c>
      <c r="C35" s="215">
        <f>197165.5+5144+44194+1829</f>
        <v>248332.5</v>
      </c>
      <c r="D35" s="215">
        <v>316499</v>
      </c>
      <c r="E35" s="215">
        <f t="shared" si="4"/>
        <v>68166.5</v>
      </c>
      <c r="F35" s="216">
        <f t="shared" si="2"/>
        <v>127.44968942848803</v>
      </c>
    </row>
    <row r="36" spans="1:9" ht="25.5" x14ac:dyDescent="0.25">
      <c r="A36" s="154">
        <v>9</v>
      </c>
      <c r="B36" s="155" t="s">
        <v>93</v>
      </c>
      <c r="C36" s="215">
        <f>342545.4</f>
        <v>342545.4</v>
      </c>
      <c r="D36" s="215">
        <v>324866</v>
      </c>
      <c r="E36" s="215">
        <f t="shared" si="4"/>
        <v>-17679.400000000023</v>
      </c>
      <c r="F36" s="216">
        <f t="shared" si="2"/>
        <v>94.838815526350658</v>
      </c>
    </row>
    <row r="37" spans="1:9" x14ac:dyDescent="0.25">
      <c r="A37" s="154">
        <v>10</v>
      </c>
      <c r="B37" s="155" t="s">
        <v>95</v>
      </c>
      <c r="C37" s="215">
        <f>38788+11500+196+11109</f>
        <v>61593</v>
      </c>
      <c r="D37" s="215">
        <v>25149</v>
      </c>
      <c r="E37" s="215">
        <f t="shared" si="4"/>
        <v>-36444</v>
      </c>
      <c r="F37" s="216">
        <f t="shared" si="2"/>
        <v>40.830938580682869</v>
      </c>
    </row>
    <row r="38" spans="1:9" ht="25.5" x14ac:dyDescent="0.25">
      <c r="A38" s="154">
        <v>11</v>
      </c>
      <c r="B38" s="155" t="s">
        <v>503</v>
      </c>
      <c r="C38" s="215">
        <f>65501+1288+8622+5000</f>
        <v>80411</v>
      </c>
      <c r="D38" s="215">
        <f>70465+25483</f>
        <v>95948</v>
      </c>
      <c r="E38" s="215">
        <f t="shared" si="4"/>
        <v>15537</v>
      </c>
      <c r="F38" s="216">
        <f t="shared" si="2"/>
        <v>119.32198331074106</v>
      </c>
    </row>
    <row r="39" spans="1:9" x14ac:dyDescent="0.25">
      <c r="A39" s="154">
        <v>12</v>
      </c>
      <c r="B39" s="155" t="s">
        <v>506</v>
      </c>
      <c r="C39" s="215">
        <f>29462+668+167</f>
        <v>30297</v>
      </c>
      <c r="D39" s="215">
        <v>5144</v>
      </c>
      <c r="E39" s="215">
        <f t="shared" si="4"/>
        <v>-25153</v>
      </c>
      <c r="F39" s="216">
        <f t="shared" si="2"/>
        <v>16.978578737168696</v>
      </c>
      <c r="H39" s="205"/>
    </row>
    <row r="40" spans="1:9" ht="25.5" x14ac:dyDescent="0.25">
      <c r="A40" s="156" t="s">
        <v>29</v>
      </c>
      <c r="B40" s="151" t="s">
        <v>507</v>
      </c>
      <c r="C40" s="213">
        <v>2000</v>
      </c>
      <c r="D40" s="213">
        <f>'[1]Bieu 51_'!D24</f>
        <v>9500.851999999999</v>
      </c>
      <c r="E40" s="213">
        <f t="shared" si="4"/>
        <v>7500.851999999999</v>
      </c>
      <c r="F40" s="214">
        <f t="shared" si="2"/>
        <v>475.04259999999994</v>
      </c>
      <c r="I40" s="219"/>
    </row>
    <row r="41" spans="1:9" x14ac:dyDescent="0.25">
      <c r="A41" s="156" t="s">
        <v>56</v>
      </c>
      <c r="B41" s="157" t="s">
        <v>508</v>
      </c>
      <c r="C41" s="213">
        <v>1000</v>
      </c>
      <c r="D41" s="213">
        <v>1000</v>
      </c>
      <c r="E41" s="213">
        <f t="shared" si="4"/>
        <v>0</v>
      </c>
      <c r="F41" s="214">
        <f t="shared" si="2"/>
        <v>100</v>
      </c>
    </row>
    <row r="42" spans="1:9" x14ac:dyDescent="0.25">
      <c r="A42" s="156" t="s">
        <v>73</v>
      </c>
      <c r="B42" s="157" t="s">
        <v>24</v>
      </c>
      <c r="C42" s="213">
        <v>66785</v>
      </c>
      <c r="D42" s="213"/>
      <c r="E42" s="213">
        <f t="shared" si="4"/>
        <v>-66785</v>
      </c>
      <c r="F42" s="214">
        <f t="shared" si="2"/>
        <v>0</v>
      </c>
    </row>
    <row r="43" spans="1:9" x14ac:dyDescent="0.25">
      <c r="A43" s="156" t="s">
        <v>74</v>
      </c>
      <c r="B43" s="157" t="s">
        <v>243</v>
      </c>
      <c r="C43" s="213">
        <v>83900</v>
      </c>
      <c r="D43" s="213">
        <v>19277.513097000003</v>
      </c>
      <c r="E43" s="213">
        <f t="shared" si="4"/>
        <v>-64622.486902999997</v>
      </c>
      <c r="F43" s="214">
        <f t="shared" si="2"/>
        <v>22.976773655542317</v>
      </c>
    </row>
    <row r="44" spans="1:9" ht="76.5" x14ac:dyDescent="0.25">
      <c r="A44" s="156" t="s">
        <v>383</v>
      </c>
      <c r="B44" s="157" t="s">
        <v>436</v>
      </c>
      <c r="C44" s="213">
        <v>789492</v>
      </c>
      <c r="D44" s="213">
        <f>'[1]Bieu 51_'!D27</f>
        <v>51310</v>
      </c>
      <c r="E44" s="213">
        <f t="shared" si="4"/>
        <v>-738182</v>
      </c>
      <c r="F44" s="214">
        <f t="shared" si="2"/>
        <v>6.4991158871780836</v>
      </c>
    </row>
    <row r="45" spans="1:9" x14ac:dyDescent="0.25">
      <c r="A45" s="156" t="s">
        <v>384</v>
      </c>
      <c r="B45" s="157" t="s">
        <v>425</v>
      </c>
      <c r="C45" s="213">
        <v>39000</v>
      </c>
      <c r="D45" s="213"/>
      <c r="E45" s="213">
        <f>D45-C45</f>
        <v>-39000</v>
      </c>
      <c r="F45" s="214">
        <f t="shared" si="2"/>
        <v>0</v>
      </c>
    </row>
    <row r="46" spans="1:9" x14ac:dyDescent="0.25">
      <c r="A46" s="156" t="s">
        <v>509</v>
      </c>
      <c r="B46" s="157" t="s">
        <v>437</v>
      </c>
      <c r="C46" s="213"/>
      <c r="D46" s="213">
        <v>11899.7</v>
      </c>
      <c r="E46" s="213"/>
      <c r="F46" s="214"/>
    </row>
    <row r="47" spans="1:9" x14ac:dyDescent="0.25">
      <c r="A47" s="156" t="s">
        <v>31</v>
      </c>
      <c r="B47" s="157" t="s">
        <v>76</v>
      </c>
      <c r="C47" s="213"/>
      <c r="D47" s="213">
        <v>1326874.6170000001</v>
      </c>
      <c r="E47" s="213">
        <f t="shared" si="4"/>
        <v>1326874.6170000001</v>
      </c>
      <c r="F47" s="214">
        <f t="shared" si="2"/>
        <v>0</v>
      </c>
      <c r="I47" s="205"/>
    </row>
    <row r="48" spans="1:9" x14ac:dyDescent="0.25">
      <c r="A48" s="162" t="s">
        <v>32</v>
      </c>
      <c r="B48" s="163" t="s">
        <v>510</v>
      </c>
      <c r="C48" s="220"/>
      <c r="D48" s="220">
        <v>331567.81599999999</v>
      </c>
      <c r="E48" s="220">
        <f t="shared" si="4"/>
        <v>331567.81599999999</v>
      </c>
      <c r="F48" s="221">
        <f t="shared" si="2"/>
        <v>0</v>
      </c>
    </row>
    <row r="49" spans="1:6" ht="30" customHeight="1" x14ac:dyDescent="0.25">
      <c r="A49" s="363" t="s">
        <v>511</v>
      </c>
      <c r="B49" s="363"/>
      <c r="C49" s="363"/>
      <c r="D49" s="363"/>
      <c r="E49" s="363"/>
      <c r="F49" s="363"/>
    </row>
    <row r="50" spans="1:6" ht="34.5" customHeight="1" x14ac:dyDescent="0.25">
      <c r="A50" s="364" t="s">
        <v>512</v>
      </c>
      <c r="B50" s="364"/>
      <c r="C50" s="364"/>
      <c r="D50" s="364"/>
      <c r="E50" s="364"/>
      <c r="F50" s="364"/>
    </row>
    <row r="51" spans="1:6" ht="34.5" customHeight="1" x14ac:dyDescent="0.25">
      <c r="A51" s="364" t="s">
        <v>513</v>
      </c>
      <c r="B51" s="364"/>
      <c r="C51" s="364"/>
      <c r="D51" s="364"/>
      <c r="E51" s="364"/>
      <c r="F51" s="364"/>
    </row>
    <row r="52" spans="1:6" x14ac:dyDescent="0.25">
      <c r="A52" s="364"/>
      <c r="B52" s="364"/>
      <c r="C52" s="364"/>
      <c r="D52" s="364"/>
      <c r="E52" s="364"/>
      <c r="F52" s="364"/>
    </row>
  </sheetData>
  <mergeCells count="12">
    <mergeCell ref="A49:F49"/>
    <mergeCell ref="A50:F50"/>
    <mergeCell ref="A51:F51"/>
    <mergeCell ref="A52:F52"/>
    <mergeCell ref="A2:F2"/>
    <mergeCell ref="A3:F3"/>
    <mergeCell ref="E4:F4"/>
    <mergeCell ref="A5:A6"/>
    <mergeCell ref="B5:B6"/>
    <mergeCell ref="C5:C6"/>
    <mergeCell ref="D5:D6"/>
    <mergeCell ref="E5:F5"/>
  </mergeCells>
  <dataValidations count="1">
    <dataValidation allowBlank="1" showInputMessage="1" showErrorMessage="1" prompt="Chưa bao gồm bổ sung mục tiêu NS cấp dưới" sqref="D8" xr:uid="{00000000-0002-0000-08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62_QT</vt:lpstr>
      <vt:lpstr>63_QT</vt:lpstr>
      <vt:lpstr>64_QT </vt:lpstr>
      <vt:lpstr>65_QT</vt:lpstr>
      <vt:lpstr>66_QT </vt:lpstr>
      <vt:lpstr>67_QT</vt:lpstr>
      <vt:lpstr>68_QT</vt:lpstr>
      <vt:lpstr>Bieu53_NQ83 HDND</vt:lpstr>
      <vt:lpstr>Bieu 52_NQ83 HDND</vt:lpstr>
      <vt:lpstr>Bieu 54_NQ83 HDND</vt:lpstr>
      <vt:lpstr>'65_QT'!Print_Area</vt:lpstr>
      <vt:lpstr>'68_QT'!Print_Area</vt:lpstr>
      <vt:lpstr>'63_QT'!Print_Titles</vt:lpstr>
      <vt:lpstr>'64_QT '!Print_Titles</vt:lpstr>
      <vt:lpstr>'65_QT'!Print_Titles</vt:lpstr>
      <vt:lpstr>'66_QT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2023-12-18T01:40:42Z</dcterms:modified>
</cp:coreProperties>
</file>