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36" windowHeight="11760" tabRatio="705"/>
  </bookViews>
  <sheets>
    <sheet name="62_QT" sheetId="1" r:id="rId1"/>
    <sheet name="63_QT" sheetId="2" r:id="rId2"/>
    <sheet name="64_QT " sheetId="3" r:id="rId3"/>
    <sheet name="65_QT" sheetId="4" r:id="rId4"/>
    <sheet name="66_QT " sheetId="16" r:id="rId5"/>
    <sheet name="67_QT" sheetId="6" r:id="rId6"/>
    <sheet name="68_QT " sheetId="7" r:id="rId7"/>
  </sheets>
  <externalReferences>
    <externalReference r:id="rId8"/>
  </externalReferences>
  <definedNames>
    <definedName name="_xlnm.Print_Titles" localSheetId="1">'63_QT'!$6:$7</definedName>
    <definedName name="_xlnm.Print_Titles" localSheetId="2">'64_QT '!$6:$7</definedName>
    <definedName name="_xlnm.Print_Titles" localSheetId="3">'65_QT'!$6:$7</definedName>
    <definedName name="_xlnm.Print_Titles" localSheetId="4">'66_QT '!$6:$9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 i="16" l="1"/>
  <c r="E13" i="16"/>
  <c r="F13" i="16"/>
  <c r="G13" i="16"/>
  <c r="H13" i="16"/>
  <c r="I13" i="16"/>
  <c r="J13" i="16"/>
  <c r="K13" i="16"/>
  <c r="L13" i="16"/>
  <c r="M13" i="16"/>
  <c r="N13" i="16"/>
  <c r="O13" i="16"/>
  <c r="P13" i="16"/>
  <c r="Q13" i="16"/>
  <c r="R13" i="16"/>
  <c r="S13" i="16"/>
  <c r="T13" i="16"/>
  <c r="U13" i="16"/>
  <c r="V13" i="16"/>
  <c r="W13" i="16"/>
  <c r="X13" i="16"/>
  <c r="Y13" i="16"/>
  <c r="Z13" i="16"/>
  <c r="AA13" i="16"/>
  <c r="C13" i="16"/>
  <c r="C11" i="4" l="1"/>
  <c r="AC14" i="16" l="1"/>
  <c r="D21" i="4"/>
  <c r="K95" i="3"/>
  <c r="J95" i="3"/>
  <c r="I95" i="3"/>
  <c r="F95" i="3"/>
  <c r="K94" i="3"/>
  <c r="J94" i="3"/>
  <c r="I94" i="3"/>
  <c r="F94" i="3"/>
  <c r="J93" i="3"/>
  <c r="F93" i="3"/>
  <c r="I93" i="3" s="1"/>
  <c r="E93" i="3"/>
  <c r="K93" i="3" s="1"/>
  <c r="J92" i="3"/>
  <c r="F92" i="3"/>
  <c r="I92" i="3" s="1"/>
  <c r="E92" i="3"/>
  <c r="K92" i="3" s="1"/>
  <c r="J91" i="3"/>
  <c r="F91" i="3"/>
  <c r="I91" i="3" s="1"/>
  <c r="E91" i="3"/>
  <c r="K91" i="3" s="1"/>
  <c r="J90" i="3"/>
  <c r="F90" i="3"/>
  <c r="I90" i="3" s="1"/>
  <c r="E90" i="3"/>
  <c r="K90" i="3" s="1"/>
  <c r="J89" i="3"/>
  <c r="F89" i="3"/>
  <c r="I89" i="3" s="1"/>
  <c r="E89" i="3"/>
  <c r="K89" i="3" s="1"/>
  <c r="J88" i="3"/>
  <c r="F88" i="3"/>
  <c r="I88" i="3" s="1"/>
  <c r="E88" i="3"/>
  <c r="K88" i="3" s="1"/>
  <c r="J87" i="3"/>
  <c r="F87" i="3"/>
  <c r="I87" i="3" s="1"/>
  <c r="E87" i="3"/>
  <c r="K87" i="3" s="1"/>
  <c r="J86" i="3"/>
  <c r="F86" i="3"/>
  <c r="I86" i="3" s="1"/>
  <c r="E86" i="3"/>
  <c r="K86" i="3" s="1"/>
  <c r="J85" i="3"/>
  <c r="F85" i="3"/>
  <c r="I85" i="3" s="1"/>
  <c r="E85" i="3"/>
  <c r="K84" i="3"/>
  <c r="J84" i="3"/>
  <c r="F84" i="3"/>
  <c r="C84" i="3"/>
  <c r="K83" i="3"/>
  <c r="J83" i="3"/>
  <c r="F83" i="3"/>
  <c r="C83" i="3"/>
  <c r="K82" i="3"/>
  <c r="J82" i="3"/>
  <c r="F82" i="3"/>
  <c r="I82" i="3" s="1"/>
  <c r="H81" i="3"/>
  <c r="G81" i="3"/>
  <c r="D81" i="3"/>
  <c r="J80" i="3"/>
  <c r="F80" i="3"/>
  <c r="I80" i="3" s="1"/>
  <c r="E80" i="3"/>
  <c r="K80" i="3" s="1"/>
  <c r="J79" i="3"/>
  <c r="F79" i="3"/>
  <c r="I79" i="3" s="1"/>
  <c r="E79" i="3"/>
  <c r="K79" i="3" s="1"/>
  <c r="H78" i="3"/>
  <c r="G78" i="3"/>
  <c r="D78" i="3"/>
  <c r="C78" i="3"/>
  <c r="J77" i="3"/>
  <c r="F77" i="3"/>
  <c r="I77" i="3" s="1"/>
  <c r="E77" i="3"/>
  <c r="K77" i="3" s="1"/>
  <c r="J76" i="3"/>
  <c r="F76" i="3"/>
  <c r="I76" i="3" s="1"/>
  <c r="E76" i="3"/>
  <c r="K76" i="3" s="1"/>
  <c r="J75" i="3"/>
  <c r="F75" i="3"/>
  <c r="I75" i="3" s="1"/>
  <c r="E75" i="3"/>
  <c r="K75" i="3" s="1"/>
  <c r="J74" i="3"/>
  <c r="F74" i="3"/>
  <c r="I74" i="3" s="1"/>
  <c r="E74" i="3"/>
  <c r="K74" i="3" s="1"/>
  <c r="J73" i="3"/>
  <c r="F73" i="3"/>
  <c r="I73" i="3" s="1"/>
  <c r="E73" i="3"/>
  <c r="K73" i="3" s="1"/>
  <c r="J72" i="3"/>
  <c r="F72" i="3"/>
  <c r="I72" i="3" s="1"/>
  <c r="E72" i="3"/>
  <c r="K72" i="3" s="1"/>
  <c r="J71" i="3"/>
  <c r="F71" i="3"/>
  <c r="E71" i="3"/>
  <c r="K71" i="3" s="1"/>
  <c r="J70" i="3"/>
  <c r="F70" i="3"/>
  <c r="I70" i="3" s="1"/>
  <c r="E70" i="3"/>
  <c r="K70" i="3" s="1"/>
  <c r="J69" i="3"/>
  <c r="F69" i="3"/>
  <c r="I69" i="3" s="1"/>
  <c r="E69" i="3"/>
  <c r="K69" i="3" s="1"/>
  <c r="H68" i="3"/>
  <c r="G68" i="3"/>
  <c r="D68" i="3"/>
  <c r="C68" i="3"/>
  <c r="J67" i="3"/>
  <c r="F67" i="3"/>
  <c r="I67" i="3" s="1"/>
  <c r="E67" i="3"/>
  <c r="K67" i="3" s="1"/>
  <c r="J66" i="3"/>
  <c r="F66" i="3"/>
  <c r="E66" i="3"/>
  <c r="K66" i="3" s="1"/>
  <c r="J65" i="3"/>
  <c r="F65" i="3"/>
  <c r="I65" i="3" s="1"/>
  <c r="E65" i="3"/>
  <c r="K65" i="3" s="1"/>
  <c r="J64" i="3"/>
  <c r="F64" i="3"/>
  <c r="I64" i="3" s="1"/>
  <c r="E64" i="3"/>
  <c r="H63" i="3"/>
  <c r="G63" i="3"/>
  <c r="D63" i="3"/>
  <c r="C63" i="3"/>
  <c r="J62" i="3"/>
  <c r="F62" i="3"/>
  <c r="I62" i="3" s="1"/>
  <c r="E62" i="3"/>
  <c r="K62" i="3" s="1"/>
  <c r="J61" i="3"/>
  <c r="F61" i="3"/>
  <c r="I61" i="3" s="1"/>
  <c r="E61" i="3"/>
  <c r="K61" i="3" s="1"/>
  <c r="J60" i="3"/>
  <c r="F60" i="3"/>
  <c r="I60" i="3" s="1"/>
  <c r="E60" i="3"/>
  <c r="K60" i="3" s="1"/>
  <c r="J59" i="3"/>
  <c r="F59" i="3"/>
  <c r="I59" i="3" s="1"/>
  <c r="E59" i="3"/>
  <c r="K59" i="3" s="1"/>
  <c r="J58" i="3"/>
  <c r="F58" i="3"/>
  <c r="E58" i="3"/>
  <c r="K58" i="3" s="1"/>
  <c r="H57" i="3"/>
  <c r="G57" i="3"/>
  <c r="J57" i="3" s="1"/>
  <c r="E57" i="3"/>
  <c r="K57" i="3" s="1"/>
  <c r="K56" i="3"/>
  <c r="J56" i="3"/>
  <c r="F56" i="3"/>
  <c r="C56" i="3"/>
  <c r="K55" i="3"/>
  <c r="J55" i="3"/>
  <c r="F55" i="3"/>
  <c r="C55" i="3"/>
  <c r="K54" i="3"/>
  <c r="J54" i="3"/>
  <c r="F54" i="3"/>
  <c r="C54" i="3"/>
  <c r="H53" i="3"/>
  <c r="G53" i="3"/>
  <c r="E53" i="3"/>
  <c r="D53" i="3"/>
  <c r="K52" i="3"/>
  <c r="J52" i="3"/>
  <c r="F52" i="3"/>
  <c r="C52" i="3"/>
  <c r="K51" i="3"/>
  <c r="J51" i="3"/>
  <c r="F51" i="3"/>
  <c r="F50" i="3" s="1"/>
  <c r="C51" i="3"/>
  <c r="C50" i="3" s="1"/>
  <c r="H50" i="3"/>
  <c r="G50" i="3"/>
  <c r="E50" i="3"/>
  <c r="D50" i="3"/>
  <c r="J49" i="3"/>
  <c r="F49" i="3"/>
  <c r="E49" i="3"/>
  <c r="K49" i="3" s="1"/>
  <c r="K48" i="3"/>
  <c r="J48" i="3"/>
  <c r="F48" i="3"/>
  <c r="C48" i="3"/>
  <c r="J47" i="3"/>
  <c r="F47" i="3"/>
  <c r="E47" i="3"/>
  <c r="K47" i="3" s="1"/>
  <c r="K45" i="3"/>
  <c r="J45" i="3"/>
  <c r="F45" i="3"/>
  <c r="C45" i="3"/>
  <c r="K44" i="3"/>
  <c r="J44" i="3"/>
  <c r="F44" i="3"/>
  <c r="C44" i="3"/>
  <c r="K43" i="3"/>
  <c r="J43" i="3"/>
  <c r="F43" i="3"/>
  <c r="C43" i="3"/>
  <c r="K42" i="3"/>
  <c r="J42" i="3"/>
  <c r="F42" i="3"/>
  <c r="C42" i="3"/>
  <c r="K41" i="3"/>
  <c r="J41" i="3"/>
  <c r="F41" i="3"/>
  <c r="C41" i="3"/>
  <c r="K40" i="3"/>
  <c r="J40" i="3"/>
  <c r="F40" i="3"/>
  <c r="C40" i="3"/>
  <c r="H39" i="3"/>
  <c r="G39" i="3"/>
  <c r="E39" i="3"/>
  <c r="K39" i="3" s="1"/>
  <c r="D39" i="3"/>
  <c r="K37" i="3"/>
  <c r="J37" i="3"/>
  <c r="F37" i="3"/>
  <c r="C37" i="3"/>
  <c r="K36" i="3"/>
  <c r="J36" i="3"/>
  <c r="F36" i="3"/>
  <c r="C36" i="3"/>
  <c r="H35" i="3"/>
  <c r="G35" i="3"/>
  <c r="D35" i="3"/>
  <c r="H33" i="3"/>
  <c r="G33" i="3"/>
  <c r="E33" i="3"/>
  <c r="D33" i="3"/>
  <c r="C33" i="3" s="1"/>
  <c r="H32" i="3"/>
  <c r="H31" i="3" s="1"/>
  <c r="G32" i="3"/>
  <c r="E32" i="3"/>
  <c r="D32" i="3"/>
  <c r="E31" i="3"/>
  <c r="D31" i="3"/>
  <c r="C31" i="3" s="1"/>
  <c r="K29" i="3"/>
  <c r="J29" i="3"/>
  <c r="F29" i="3"/>
  <c r="C29" i="3"/>
  <c r="J28" i="3"/>
  <c r="F28" i="3"/>
  <c r="I28" i="3" s="1"/>
  <c r="E28" i="3"/>
  <c r="K28" i="3" s="1"/>
  <c r="J27" i="3"/>
  <c r="I27" i="3"/>
  <c r="E27" i="3"/>
  <c r="K27" i="3" s="1"/>
  <c r="J26" i="3"/>
  <c r="F26" i="3"/>
  <c r="I26" i="3" s="1"/>
  <c r="E26" i="3"/>
  <c r="K26" i="3" s="1"/>
  <c r="J25" i="3"/>
  <c r="F25" i="3"/>
  <c r="I25" i="3" s="1"/>
  <c r="E25" i="3"/>
  <c r="K25" i="3" s="1"/>
  <c r="J24" i="3"/>
  <c r="H24" i="3"/>
  <c r="E24" i="3"/>
  <c r="E23" i="3"/>
  <c r="K22" i="3"/>
  <c r="J22" i="3"/>
  <c r="I22" i="3"/>
  <c r="H21" i="3"/>
  <c r="E21" i="3"/>
  <c r="J20" i="3"/>
  <c r="I20" i="3"/>
  <c r="E20" i="3"/>
  <c r="K20" i="3" s="1"/>
  <c r="K19" i="3"/>
  <c r="F19" i="3"/>
  <c r="D19" i="3"/>
  <c r="J19" i="3" s="1"/>
  <c r="J18" i="3"/>
  <c r="F18" i="3"/>
  <c r="I18" i="3" s="1"/>
  <c r="E18" i="3"/>
  <c r="K18" i="3" s="1"/>
  <c r="F17" i="3"/>
  <c r="E17" i="3"/>
  <c r="K17" i="3" s="1"/>
  <c r="J16" i="3"/>
  <c r="I16" i="3"/>
  <c r="E16" i="3"/>
  <c r="K16" i="3" s="1"/>
  <c r="J15" i="3"/>
  <c r="H15" i="3"/>
  <c r="F15" i="3" s="1"/>
  <c r="I15" i="3" s="1"/>
  <c r="E15" i="3"/>
  <c r="K15" i="3" s="1"/>
  <c r="J14" i="3"/>
  <c r="H14" i="3"/>
  <c r="F14" i="3" s="1"/>
  <c r="E14" i="3"/>
  <c r="C14" i="3" s="1"/>
  <c r="K13" i="3"/>
  <c r="J13" i="3"/>
  <c r="I13" i="3"/>
  <c r="G12" i="3"/>
  <c r="G11" i="3" s="1"/>
  <c r="F12" i="3"/>
  <c r="H11" i="3"/>
  <c r="AZ41" i="7"/>
  <c r="AW41" i="7"/>
  <c r="AS41" i="7"/>
  <c r="AH41" i="7"/>
  <c r="AE41" i="7"/>
  <c r="AA41" i="7"/>
  <c r="Z41" i="7"/>
  <c r="Y41" i="7"/>
  <c r="Q41" i="7"/>
  <c r="N41" i="7"/>
  <c r="M41" i="7" s="1"/>
  <c r="J41" i="7"/>
  <c r="AR41" i="7" s="1"/>
  <c r="I41" i="7"/>
  <c r="H41" i="7" s="1"/>
  <c r="G41" i="7" s="1"/>
  <c r="AZ40" i="7"/>
  <c r="AS40" i="7"/>
  <c r="AH40" i="7"/>
  <c r="AD40" i="7" s="1"/>
  <c r="AE40" i="7"/>
  <c r="AA40" i="7"/>
  <c r="Z40" i="7"/>
  <c r="Y40" i="7"/>
  <c r="Q40" i="7"/>
  <c r="E40" i="7" s="1"/>
  <c r="O40" i="7"/>
  <c r="N40" i="7" s="1"/>
  <c r="J40" i="7"/>
  <c r="I40" i="7"/>
  <c r="H40" i="7" s="1"/>
  <c r="G40" i="7" s="1"/>
  <c r="AZ39" i="7"/>
  <c r="AS39" i="7"/>
  <c r="AH39" i="7"/>
  <c r="AE39" i="7"/>
  <c r="AA39" i="7"/>
  <c r="Z39" i="7"/>
  <c r="Y39" i="7"/>
  <c r="X39" i="7" s="1"/>
  <c r="Q39" i="7"/>
  <c r="O39" i="7"/>
  <c r="AW39" i="7" s="1"/>
  <c r="J39" i="7"/>
  <c r="I39" i="7"/>
  <c r="H39" i="7" s="1"/>
  <c r="G39" i="7" s="1"/>
  <c r="AZ38" i="7"/>
  <c r="AW38" i="7"/>
  <c r="AS38" i="7"/>
  <c r="AH38" i="7"/>
  <c r="AE38" i="7"/>
  <c r="AA38" i="7"/>
  <c r="Z38" i="7"/>
  <c r="Y38" i="7"/>
  <c r="Q38" i="7"/>
  <c r="N38" i="7"/>
  <c r="J38" i="7"/>
  <c r="I38" i="7"/>
  <c r="H38" i="7" s="1"/>
  <c r="G38" i="7" s="1"/>
  <c r="AZ37" i="7"/>
  <c r="AW37" i="7"/>
  <c r="AS37" i="7"/>
  <c r="AH37" i="7"/>
  <c r="AE37" i="7"/>
  <c r="AA37" i="7"/>
  <c r="Z37" i="7"/>
  <c r="Y37" i="7"/>
  <c r="Q37" i="7"/>
  <c r="N37" i="7"/>
  <c r="J37" i="7"/>
  <c r="I37" i="7"/>
  <c r="H37" i="7" s="1"/>
  <c r="G37" i="7" s="1"/>
  <c r="AZ36" i="7"/>
  <c r="AS36" i="7"/>
  <c r="AH36" i="7"/>
  <c r="V36" i="7" s="1"/>
  <c r="AE36" i="7"/>
  <c r="AA36" i="7"/>
  <c r="Z36" i="7"/>
  <c r="Y36" i="7"/>
  <c r="Y31" i="7" s="1"/>
  <c r="Q36" i="7"/>
  <c r="O36" i="7"/>
  <c r="N36" i="7" s="1"/>
  <c r="J36" i="7"/>
  <c r="I36" i="7"/>
  <c r="H36" i="7" s="1"/>
  <c r="AZ35" i="7"/>
  <c r="AW35" i="7"/>
  <c r="AS35" i="7"/>
  <c r="AH35" i="7"/>
  <c r="AE35" i="7"/>
  <c r="AA35" i="7"/>
  <c r="X35" i="7"/>
  <c r="W35" i="7" s="1"/>
  <c r="Q35" i="7"/>
  <c r="AY35" i="7" s="1"/>
  <c r="N35" i="7"/>
  <c r="J35" i="7"/>
  <c r="I35" i="7"/>
  <c r="G35" i="7" s="1"/>
  <c r="AZ34" i="7"/>
  <c r="AS34" i="7"/>
  <c r="AH34" i="7"/>
  <c r="AE34" i="7"/>
  <c r="AD34" i="7"/>
  <c r="AA34" i="7"/>
  <c r="Z34" i="7"/>
  <c r="X34" i="7" s="1"/>
  <c r="Q34" i="7"/>
  <c r="O34" i="7"/>
  <c r="AW34" i="7" s="1"/>
  <c r="J34" i="7"/>
  <c r="I34" i="7"/>
  <c r="G34" i="7"/>
  <c r="AZ33" i="7"/>
  <c r="AS33" i="7"/>
  <c r="AH33" i="7"/>
  <c r="AE33" i="7"/>
  <c r="AA33" i="7"/>
  <c r="Z33" i="7"/>
  <c r="X33" i="7"/>
  <c r="Q33" i="7"/>
  <c r="O33" i="7"/>
  <c r="AW33" i="7" s="1"/>
  <c r="J33" i="7"/>
  <c r="I33" i="7"/>
  <c r="G33" i="7" s="1"/>
  <c r="AZ32" i="7"/>
  <c r="AH32" i="7"/>
  <c r="AH31" i="7" s="1"/>
  <c r="AE32" i="7"/>
  <c r="AB32" i="7"/>
  <c r="AS32" i="7" s="1"/>
  <c r="X32" i="7"/>
  <c r="U32" i="7"/>
  <c r="Q32" i="7"/>
  <c r="O32" i="7"/>
  <c r="AW32" i="7" s="1"/>
  <c r="J32" i="7"/>
  <c r="E32" i="7" s="1"/>
  <c r="I32" i="7"/>
  <c r="G32" i="7" s="1"/>
  <c r="AJ31" i="7"/>
  <c r="AI31" i="7"/>
  <c r="AG31" i="7"/>
  <c r="AF31" i="7"/>
  <c r="AC31" i="7"/>
  <c r="AB31" i="7"/>
  <c r="S31" i="7"/>
  <c r="R31" i="7"/>
  <c r="P31" i="7"/>
  <c r="L31" i="7"/>
  <c r="K31" i="7"/>
  <c r="X30" i="7"/>
  <c r="V30" i="7"/>
  <c r="Q30" i="7"/>
  <c r="N30" i="7"/>
  <c r="J30" i="7"/>
  <c r="E30" i="7" s="1"/>
  <c r="G30" i="7"/>
  <c r="AP29" i="7"/>
  <c r="X29" i="7"/>
  <c r="W29" i="7" s="1"/>
  <c r="V29" i="7"/>
  <c r="Q29" i="7"/>
  <c r="N29" i="7"/>
  <c r="J29" i="7"/>
  <c r="G29" i="7"/>
  <c r="AP28" i="7"/>
  <c r="X28" i="7"/>
  <c r="V28" i="7"/>
  <c r="Q28" i="7"/>
  <c r="N28" i="7"/>
  <c r="J28" i="7"/>
  <c r="G28" i="7"/>
  <c r="AP27" i="7"/>
  <c r="X27" i="7"/>
  <c r="W27" i="7" s="1"/>
  <c r="V27" i="7"/>
  <c r="Q27" i="7"/>
  <c r="N27" i="7"/>
  <c r="J27" i="7"/>
  <c r="G27" i="7"/>
  <c r="X26" i="7"/>
  <c r="U26" i="7" s="1"/>
  <c r="V26" i="7"/>
  <c r="Q26" i="7"/>
  <c r="N26" i="7"/>
  <c r="J26" i="7"/>
  <c r="G26" i="7"/>
  <c r="D26" i="7" s="1"/>
  <c r="X25" i="7"/>
  <c r="W25" i="7" s="1"/>
  <c r="V25" i="7"/>
  <c r="U25" i="7"/>
  <c r="T25" i="7" s="1"/>
  <c r="Q25" i="7"/>
  <c r="M25" i="7" s="1"/>
  <c r="N25" i="7"/>
  <c r="J25" i="7"/>
  <c r="G25" i="7"/>
  <c r="X24" i="7"/>
  <c r="V24" i="7"/>
  <c r="Q24" i="7"/>
  <c r="N24" i="7"/>
  <c r="J24" i="7"/>
  <c r="G24" i="7"/>
  <c r="AS23" i="7"/>
  <c r="AH23" i="7"/>
  <c r="AE23" i="7"/>
  <c r="AD23" i="7" s="1"/>
  <c r="AA23" i="7"/>
  <c r="X23" i="7"/>
  <c r="W23" i="7" s="1"/>
  <c r="Q23" i="7"/>
  <c r="N23" i="7"/>
  <c r="J23" i="7"/>
  <c r="G23" i="7"/>
  <c r="AS22" i="7"/>
  <c r="AH22" i="7"/>
  <c r="AE22" i="7"/>
  <c r="AA22" i="7"/>
  <c r="X22" i="7"/>
  <c r="Q22" i="7"/>
  <c r="N22" i="7"/>
  <c r="J22" i="7"/>
  <c r="G22" i="7"/>
  <c r="AZ21" i="7"/>
  <c r="AH21" i="7"/>
  <c r="AE21" i="7"/>
  <c r="AA21" i="7"/>
  <c r="X21" i="7"/>
  <c r="Q21" i="7"/>
  <c r="N21" i="7"/>
  <c r="J21" i="7"/>
  <c r="G21" i="7"/>
  <c r="D21" i="7" s="1"/>
  <c r="AZ20" i="7"/>
  <c r="AH20" i="7"/>
  <c r="AE20" i="7"/>
  <c r="AA20" i="7"/>
  <c r="X20" i="7"/>
  <c r="Q20" i="7"/>
  <c r="N20" i="7"/>
  <c r="J20" i="7"/>
  <c r="G20" i="7"/>
  <c r="F20" i="7" s="1"/>
  <c r="AZ19" i="7"/>
  <c r="AH19" i="7"/>
  <c r="AE19" i="7"/>
  <c r="AA19" i="7"/>
  <c r="X19" i="7"/>
  <c r="Q19" i="7"/>
  <c r="N19" i="7"/>
  <c r="J19" i="7"/>
  <c r="G19" i="7"/>
  <c r="AZ18" i="7"/>
  <c r="AH18" i="7"/>
  <c r="AE18" i="7"/>
  <c r="AA18" i="7"/>
  <c r="X18" i="7"/>
  <c r="U18" i="7" s="1"/>
  <c r="Q18" i="7"/>
  <c r="M18" i="7" s="1"/>
  <c r="N18" i="7"/>
  <c r="J18" i="7"/>
  <c r="G18" i="7"/>
  <c r="AZ17" i="7"/>
  <c r="AH17" i="7"/>
  <c r="AE17" i="7"/>
  <c r="AA17" i="7"/>
  <c r="X17" i="7"/>
  <c r="Q17" i="7"/>
  <c r="N17" i="7"/>
  <c r="J17" i="7"/>
  <c r="G17" i="7"/>
  <c r="AZ16" i="7"/>
  <c r="AH16" i="7"/>
  <c r="AE16" i="7"/>
  <c r="AA16" i="7"/>
  <c r="X16" i="7"/>
  <c r="Q16" i="7"/>
  <c r="M16" i="7" s="1"/>
  <c r="N16" i="7"/>
  <c r="J16" i="7"/>
  <c r="G16" i="7"/>
  <c r="AZ15" i="7"/>
  <c r="AS15" i="7"/>
  <c r="AH15" i="7"/>
  <c r="AE15" i="7"/>
  <c r="AA15" i="7"/>
  <c r="X15" i="7"/>
  <c r="Q15" i="7"/>
  <c r="N15" i="7"/>
  <c r="J15" i="7"/>
  <c r="E15" i="7" s="1"/>
  <c r="G15" i="7"/>
  <c r="AZ14" i="7"/>
  <c r="AS14" i="7"/>
  <c r="AH14" i="7"/>
  <c r="AE14" i="7"/>
  <c r="AA14" i="7"/>
  <c r="X14" i="7"/>
  <c r="W14" i="7" s="1"/>
  <c r="Q14" i="7"/>
  <c r="AY14" i="7" s="1"/>
  <c r="N14" i="7"/>
  <c r="J14" i="7"/>
  <c r="G14" i="7"/>
  <c r="F14" i="7" s="1"/>
  <c r="AJ13" i="7"/>
  <c r="AI13" i="7"/>
  <c r="AG13" i="7"/>
  <c r="AG12" i="7" s="1"/>
  <c r="AF13" i="7"/>
  <c r="AF12" i="7" s="1"/>
  <c r="AC13" i="7"/>
  <c r="AC12" i="7" s="1"/>
  <c r="AB13" i="7"/>
  <c r="Z13" i="7"/>
  <c r="Y13" i="7"/>
  <c r="S13" i="7"/>
  <c r="S12" i="7" s="1"/>
  <c r="R13" i="7"/>
  <c r="P13" i="7"/>
  <c r="P12" i="7" s="1"/>
  <c r="O13" i="7"/>
  <c r="L13" i="7"/>
  <c r="L12" i="7" s="1"/>
  <c r="K13" i="7"/>
  <c r="I13" i="7"/>
  <c r="H13" i="7"/>
  <c r="R12" i="7"/>
  <c r="U115" i="16"/>
  <c r="N115" i="16" s="1"/>
  <c r="K115" i="16"/>
  <c r="C115" i="16" s="1"/>
  <c r="U114" i="16"/>
  <c r="N114" i="16" s="1"/>
  <c r="K114" i="16"/>
  <c r="C114" i="16" s="1"/>
  <c r="U113" i="16"/>
  <c r="N113" i="16" s="1"/>
  <c r="K113" i="16"/>
  <c r="J113" i="16"/>
  <c r="C113" i="16" s="1"/>
  <c r="X112" i="16"/>
  <c r="U112" i="16"/>
  <c r="K112" i="16"/>
  <c r="C112" i="16" s="1"/>
  <c r="X111" i="16"/>
  <c r="U111" i="16"/>
  <c r="P111" i="16"/>
  <c r="K111" i="16"/>
  <c r="C111" i="16" s="1"/>
  <c r="X110" i="16"/>
  <c r="U110" i="16"/>
  <c r="K110" i="16"/>
  <c r="C110" i="16" s="1"/>
  <c r="E109" i="16"/>
  <c r="C109" i="16" s="1"/>
  <c r="AB109" i="16" s="1"/>
  <c r="E108" i="16"/>
  <c r="C108" i="16" s="1"/>
  <c r="AB108" i="16" s="1"/>
  <c r="E107" i="16"/>
  <c r="C107" i="16" s="1"/>
  <c r="AB107" i="16" s="1"/>
  <c r="E106" i="16"/>
  <c r="C106" i="16" s="1"/>
  <c r="AB106" i="16" s="1"/>
  <c r="E105" i="16"/>
  <c r="C105" i="16" s="1"/>
  <c r="AB105" i="16" s="1"/>
  <c r="E104" i="16"/>
  <c r="C104" i="16" s="1"/>
  <c r="AB104" i="16" s="1"/>
  <c r="E103" i="16"/>
  <c r="C103" i="16" s="1"/>
  <c r="AB103" i="16" s="1"/>
  <c r="F102" i="16"/>
  <c r="K101" i="16"/>
  <c r="C101" i="16" s="1"/>
  <c r="AC100" i="16"/>
  <c r="X100" i="16"/>
  <c r="U100" i="16"/>
  <c r="N100" i="16" s="1"/>
  <c r="K100" i="16"/>
  <c r="C100" i="16" s="1"/>
  <c r="AC99" i="16"/>
  <c r="X99" i="16"/>
  <c r="U99" i="16"/>
  <c r="K99" i="16"/>
  <c r="C99" i="16" s="1"/>
  <c r="AC98" i="16"/>
  <c r="X98" i="16"/>
  <c r="U98" i="16"/>
  <c r="N98" i="16" s="1"/>
  <c r="K98" i="16"/>
  <c r="C98" i="16" s="1"/>
  <c r="AC97" i="16"/>
  <c r="X97" i="16"/>
  <c r="U97" i="16"/>
  <c r="K97" i="16"/>
  <c r="C97" i="16" s="1"/>
  <c r="AC96" i="16"/>
  <c r="X96" i="16"/>
  <c r="U96" i="16"/>
  <c r="K96" i="16"/>
  <c r="C96" i="16" s="1"/>
  <c r="AC95" i="16"/>
  <c r="X95" i="16"/>
  <c r="U95" i="16"/>
  <c r="N95" i="16" s="1"/>
  <c r="K95" i="16"/>
  <c r="C95" i="16" s="1"/>
  <c r="AC94" i="16"/>
  <c r="X94" i="16"/>
  <c r="U94" i="16"/>
  <c r="K94" i="16"/>
  <c r="C94" i="16" s="1"/>
  <c r="AC93" i="16"/>
  <c r="X93" i="16"/>
  <c r="U93" i="16"/>
  <c r="K93" i="16"/>
  <c r="C93" i="16" s="1"/>
  <c r="AC92" i="16"/>
  <c r="X92" i="16"/>
  <c r="U92" i="16"/>
  <c r="N92" i="16" s="1"/>
  <c r="K92" i="16"/>
  <c r="C92" i="16" s="1"/>
  <c r="AC91" i="16"/>
  <c r="X91" i="16"/>
  <c r="U91" i="16"/>
  <c r="N91" i="16" s="1"/>
  <c r="K91" i="16"/>
  <c r="C91" i="16" s="1"/>
  <c r="Z90" i="16"/>
  <c r="Y90" i="16"/>
  <c r="V90" i="16"/>
  <c r="V12" i="16" s="1"/>
  <c r="V11" i="16" s="1"/>
  <c r="O90" i="16"/>
  <c r="M90" i="16"/>
  <c r="L90" i="16"/>
  <c r="K90" i="16" s="1"/>
  <c r="J90" i="16"/>
  <c r="I90" i="16"/>
  <c r="E90" i="16"/>
  <c r="D90" i="16"/>
  <c r="U89" i="16"/>
  <c r="Q89" i="16"/>
  <c r="P89" i="16" s="1"/>
  <c r="K89" i="16"/>
  <c r="E89" i="16"/>
  <c r="H88" i="16"/>
  <c r="E88" i="16" s="1"/>
  <c r="C88" i="16" s="1"/>
  <c r="U87" i="16"/>
  <c r="N87" i="16" s="1"/>
  <c r="K87" i="16"/>
  <c r="E87" i="16"/>
  <c r="U86" i="16"/>
  <c r="P86" i="16"/>
  <c r="K86" i="16"/>
  <c r="E86" i="16"/>
  <c r="U85" i="16"/>
  <c r="P85" i="16"/>
  <c r="K85" i="16"/>
  <c r="E85" i="16"/>
  <c r="U84" i="16"/>
  <c r="P84" i="16"/>
  <c r="K84" i="16"/>
  <c r="E84" i="16"/>
  <c r="AC83" i="16"/>
  <c r="U83" i="16"/>
  <c r="P83" i="16"/>
  <c r="K83" i="16"/>
  <c r="E83" i="16"/>
  <c r="U82" i="16"/>
  <c r="P82" i="16"/>
  <c r="N82" i="16" s="1"/>
  <c r="K82" i="16"/>
  <c r="H82" i="16"/>
  <c r="E82" i="16" s="1"/>
  <c r="U81" i="16"/>
  <c r="P81" i="16"/>
  <c r="K81" i="16"/>
  <c r="E81" i="16"/>
  <c r="U80" i="16"/>
  <c r="P80" i="16"/>
  <c r="K80" i="16"/>
  <c r="E80" i="16"/>
  <c r="U79" i="16"/>
  <c r="P79" i="16"/>
  <c r="N79" i="16" s="1"/>
  <c r="K79" i="16"/>
  <c r="H79" i="16"/>
  <c r="E79" i="16" s="1"/>
  <c r="U78" i="16"/>
  <c r="P78" i="16"/>
  <c r="N78" i="16" s="1"/>
  <c r="K78" i="16"/>
  <c r="E78" i="16"/>
  <c r="AC77" i="16"/>
  <c r="U77" i="16"/>
  <c r="P77" i="16"/>
  <c r="K77" i="16"/>
  <c r="E77" i="16"/>
  <c r="AC76" i="16"/>
  <c r="U76" i="16"/>
  <c r="N76" i="16" s="1"/>
  <c r="P76" i="16"/>
  <c r="K76" i="16"/>
  <c r="E76" i="16"/>
  <c r="AC75" i="16"/>
  <c r="U75" i="16"/>
  <c r="P75" i="16"/>
  <c r="K75" i="16"/>
  <c r="E75" i="16"/>
  <c r="U74" i="16"/>
  <c r="P74" i="16"/>
  <c r="K74" i="16"/>
  <c r="E74" i="16"/>
  <c r="U73" i="16"/>
  <c r="P73" i="16"/>
  <c r="N73" i="16" s="1"/>
  <c r="K73" i="16"/>
  <c r="E73" i="16"/>
  <c r="U72" i="16"/>
  <c r="P72" i="16"/>
  <c r="K72" i="16"/>
  <c r="E72" i="16"/>
  <c r="AC71" i="16"/>
  <c r="U71" i="16"/>
  <c r="P71" i="16"/>
  <c r="K71" i="16"/>
  <c r="E71" i="16"/>
  <c r="U70" i="16"/>
  <c r="P70" i="16"/>
  <c r="K70" i="16"/>
  <c r="E70" i="16"/>
  <c r="U69" i="16"/>
  <c r="P69" i="16"/>
  <c r="K69" i="16"/>
  <c r="E69" i="16"/>
  <c r="U68" i="16"/>
  <c r="P68" i="16"/>
  <c r="K68" i="16"/>
  <c r="E68" i="16"/>
  <c r="AC67" i="16"/>
  <c r="U67" i="16"/>
  <c r="P67" i="16"/>
  <c r="K67" i="16"/>
  <c r="E67" i="16"/>
  <c r="AC66" i="16"/>
  <c r="U66" i="16"/>
  <c r="P66" i="16"/>
  <c r="K66" i="16"/>
  <c r="E66" i="16"/>
  <c r="AC65" i="16"/>
  <c r="U65" i="16"/>
  <c r="P65" i="16"/>
  <c r="K65" i="16"/>
  <c r="E65" i="16"/>
  <c r="AC64" i="16"/>
  <c r="U64" i="16"/>
  <c r="P64" i="16"/>
  <c r="K64" i="16"/>
  <c r="E64" i="16"/>
  <c r="AC63" i="16"/>
  <c r="U63" i="16"/>
  <c r="P63" i="16"/>
  <c r="K63" i="16"/>
  <c r="E63" i="16"/>
  <c r="C63" i="16" s="1"/>
  <c r="U62" i="16"/>
  <c r="P62" i="16"/>
  <c r="K62" i="16"/>
  <c r="E62" i="16"/>
  <c r="U61" i="16"/>
  <c r="P61" i="16"/>
  <c r="K61" i="16"/>
  <c r="E61" i="16"/>
  <c r="U60" i="16"/>
  <c r="P60" i="16"/>
  <c r="K60" i="16"/>
  <c r="E60" i="16"/>
  <c r="U59" i="16"/>
  <c r="P59" i="16"/>
  <c r="K59" i="16"/>
  <c r="E59" i="16"/>
  <c r="U58" i="16"/>
  <c r="P58" i="16"/>
  <c r="K58" i="16"/>
  <c r="E58" i="16"/>
  <c r="U56" i="16"/>
  <c r="Q56" i="16"/>
  <c r="P56" i="16" s="1"/>
  <c r="K56" i="16"/>
  <c r="E56" i="16"/>
  <c r="U55" i="16"/>
  <c r="P55" i="16"/>
  <c r="N55" i="16" s="1"/>
  <c r="K55" i="16"/>
  <c r="E55" i="16"/>
  <c r="U54" i="16"/>
  <c r="P54" i="16"/>
  <c r="K54" i="16"/>
  <c r="E54" i="16"/>
  <c r="U53" i="16"/>
  <c r="P53" i="16"/>
  <c r="K53" i="16"/>
  <c r="E53" i="16"/>
  <c r="U52" i="16"/>
  <c r="P52" i="16"/>
  <c r="K52" i="16"/>
  <c r="E52" i="16"/>
  <c r="U51" i="16"/>
  <c r="P51" i="16"/>
  <c r="K51" i="16"/>
  <c r="E51" i="16"/>
  <c r="U50" i="16"/>
  <c r="P50" i="16"/>
  <c r="K50" i="16"/>
  <c r="E50" i="16"/>
  <c r="U49" i="16"/>
  <c r="P49" i="16"/>
  <c r="N49" i="16"/>
  <c r="K49" i="16"/>
  <c r="E49" i="16"/>
  <c r="U48" i="16"/>
  <c r="P48" i="16"/>
  <c r="K48" i="16"/>
  <c r="E48" i="16"/>
  <c r="U47" i="16"/>
  <c r="P47" i="16"/>
  <c r="AD47" i="16" s="1"/>
  <c r="K47" i="16"/>
  <c r="E47" i="16"/>
  <c r="U46" i="16"/>
  <c r="P46" i="16"/>
  <c r="K46" i="16"/>
  <c r="E46" i="16"/>
  <c r="U45" i="16"/>
  <c r="P45" i="16"/>
  <c r="N45" i="16" s="1"/>
  <c r="K45" i="16"/>
  <c r="E45" i="16"/>
  <c r="U44" i="16"/>
  <c r="P44" i="16"/>
  <c r="K44" i="16"/>
  <c r="E44" i="16"/>
  <c r="U43" i="16"/>
  <c r="P43" i="16"/>
  <c r="N43" i="16" s="1"/>
  <c r="K43" i="16"/>
  <c r="E43" i="16"/>
  <c r="O12" i="16"/>
  <c r="O11" i="16" s="1"/>
  <c r="U42" i="16"/>
  <c r="Q42" i="16"/>
  <c r="P42" i="16" s="1"/>
  <c r="K42" i="16"/>
  <c r="E42" i="16"/>
  <c r="U41" i="16"/>
  <c r="Q41" i="16"/>
  <c r="P41" i="16" s="1"/>
  <c r="AD41" i="16" s="1"/>
  <c r="K41" i="16"/>
  <c r="E41" i="16"/>
  <c r="U40" i="16"/>
  <c r="AE40" i="16" s="1"/>
  <c r="Q40" i="16"/>
  <c r="P40" i="16" s="1"/>
  <c r="K40" i="16"/>
  <c r="E40" i="16"/>
  <c r="U39" i="16"/>
  <c r="P39" i="16"/>
  <c r="K39" i="16"/>
  <c r="E39" i="16"/>
  <c r="C39" i="16" s="1"/>
  <c r="AC38" i="16"/>
  <c r="U38" i="16"/>
  <c r="P38" i="16"/>
  <c r="K38" i="16"/>
  <c r="E38" i="16"/>
  <c r="U37" i="16"/>
  <c r="P37" i="16"/>
  <c r="K37" i="16"/>
  <c r="E37" i="16"/>
  <c r="AC36" i="16"/>
  <c r="P36" i="16"/>
  <c r="N36" i="16" s="1"/>
  <c r="K36" i="16"/>
  <c r="E36" i="16"/>
  <c r="U35" i="16"/>
  <c r="P35" i="16"/>
  <c r="K35" i="16"/>
  <c r="E35" i="16"/>
  <c r="U34" i="16"/>
  <c r="Q34" i="16"/>
  <c r="P34" i="16" s="1"/>
  <c r="K34" i="16"/>
  <c r="E34" i="16"/>
  <c r="U33" i="16"/>
  <c r="P33" i="16"/>
  <c r="K33" i="16"/>
  <c r="E33" i="16"/>
  <c r="U32" i="16"/>
  <c r="N32" i="16" s="1"/>
  <c r="P32" i="16"/>
  <c r="K32" i="16"/>
  <c r="E32" i="16"/>
  <c r="AC31" i="16"/>
  <c r="W31" i="16"/>
  <c r="U31" i="16" s="1"/>
  <c r="Q31" i="16"/>
  <c r="P31" i="16" s="1"/>
  <c r="K31" i="16"/>
  <c r="H31" i="16"/>
  <c r="E31" i="16" s="1"/>
  <c r="AC30" i="16"/>
  <c r="U30" i="16"/>
  <c r="P30" i="16"/>
  <c r="K30" i="16"/>
  <c r="E30" i="16"/>
  <c r="U29" i="16"/>
  <c r="P29" i="16"/>
  <c r="K29" i="16"/>
  <c r="H29" i="16"/>
  <c r="E29" i="16" s="1"/>
  <c r="AC28" i="16"/>
  <c r="U28" i="16"/>
  <c r="Q28" i="16"/>
  <c r="P28" i="16" s="1"/>
  <c r="K28" i="16"/>
  <c r="E28" i="16"/>
  <c r="C28" i="16" s="1"/>
  <c r="U27" i="16"/>
  <c r="Q27" i="16"/>
  <c r="P27" i="16" s="1"/>
  <c r="K27" i="16"/>
  <c r="E27" i="16"/>
  <c r="U26" i="16"/>
  <c r="Q26" i="16"/>
  <c r="P26" i="16" s="1"/>
  <c r="K26" i="16"/>
  <c r="E26" i="16"/>
  <c r="AC25" i="16"/>
  <c r="U25" i="16"/>
  <c r="P25" i="16"/>
  <c r="K25" i="16"/>
  <c r="E25" i="16"/>
  <c r="U24" i="16"/>
  <c r="P24" i="16"/>
  <c r="K24" i="16"/>
  <c r="E24" i="16"/>
  <c r="U23" i="16"/>
  <c r="P23" i="16"/>
  <c r="K23" i="16"/>
  <c r="H23" i="16"/>
  <c r="E23" i="16" s="1"/>
  <c r="W22" i="16"/>
  <c r="U22" i="16" s="1"/>
  <c r="Q22" i="16"/>
  <c r="P22" i="16" s="1"/>
  <c r="K22" i="16"/>
  <c r="H22" i="16"/>
  <c r="E22" i="16" s="1"/>
  <c r="AC21" i="16"/>
  <c r="U21" i="16"/>
  <c r="P21" i="16"/>
  <c r="K21" i="16"/>
  <c r="H21" i="16"/>
  <c r="E21" i="16" s="1"/>
  <c r="AC20" i="16"/>
  <c r="U20" i="16"/>
  <c r="P20" i="16"/>
  <c r="K20" i="16"/>
  <c r="F20" i="16"/>
  <c r="E20" i="16" s="1"/>
  <c r="AC19" i="16"/>
  <c r="U19" i="16"/>
  <c r="Q19" i="16"/>
  <c r="P19" i="16" s="1"/>
  <c r="K19" i="16"/>
  <c r="H19" i="16"/>
  <c r="F19" i="16"/>
  <c r="AC18" i="16"/>
  <c r="U18" i="16"/>
  <c r="P18" i="16"/>
  <c r="AD18" i="16" s="1"/>
  <c r="K18" i="16"/>
  <c r="E18" i="16"/>
  <c r="U17" i="16"/>
  <c r="P17" i="16"/>
  <c r="N17" i="16" s="1"/>
  <c r="K17" i="16"/>
  <c r="E17" i="16"/>
  <c r="U16" i="16"/>
  <c r="N16" i="16" s="1"/>
  <c r="K16" i="16"/>
  <c r="E16" i="16"/>
  <c r="AD16" i="16" s="1"/>
  <c r="AC15" i="16"/>
  <c r="U15" i="16"/>
  <c r="P15" i="16"/>
  <c r="K15" i="16"/>
  <c r="H15" i="16"/>
  <c r="E15" i="16" s="1"/>
  <c r="W14" i="16"/>
  <c r="M14" i="16"/>
  <c r="H14" i="16"/>
  <c r="F14" i="16"/>
  <c r="Z12" i="16"/>
  <c r="Z11" i="16" s="1"/>
  <c r="Y12" i="16"/>
  <c r="Y11" i="16" s="1"/>
  <c r="T12" i="16"/>
  <c r="T11" i="16" s="1"/>
  <c r="R12" i="16"/>
  <c r="R11" i="16" s="1"/>
  <c r="I12" i="16"/>
  <c r="I11" i="16" s="1"/>
  <c r="G12" i="16"/>
  <c r="G11" i="16" s="1"/>
  <c r="D12" i="16"/>
  <c r="S12" i="16"/>
  <c r="S11" i="16" s="1"/>
  <c r="AA11" i="16"/>
  <c r="N19" i="16" l="1"/>
  <c r="C21" i="16"/>
  <c r="N25" i="16"/>
  <c r="AD33" i="16"/>
  <c r="AD35" i="16"/>
  <c r="C64" i="16"/>
  <c r="C68" i="16"/>
  <c r="C69" i="16"/>
  <c r="C77" i="16"/>
  <c r="L12" i="16"/>
  <c r="L11" i="16" s="1"/>
  <c r="AB45" i="16"/>
  <c r="N69" i="16"/>
  <c r="C44" i="16"/>
  <c r="C45" i="16"/>
  <c r="C47" i="16"/>
  <c r="C74" i="16"/>
  <c r="C85" i="16"/>
  <c r="C86" i="16"/>
  <c r="C89" i="16"/>
  <c r="AE26" i="16"/>
  <c r="C32" i="16"/>
  <c r="C36" i="16"/>
  <c r="C43" i="16"/>
  <c r="N44" i="16"/>
  <c r="AD49" i="16"/>
  <c r="AD53" i="16"/>
  <c r="C67" i="16"/>
  <c r="N83" i="16"/>
  <c r="M15" i="7"/>
  <c r="F16" i="7"/>
  <c r="AY20" i="7"/>
  <c r="J31" i="7"/>
  <c r="N32" i="7"/>
  <c r="M32" i="7" s="1"/>
  <c r="Q31" i="7"/>
  <c r="AY31" i="7" s="1"/>
  <c r="AE31" i="7"/>
  <c r="E36" i="7"/>
  <c r="X38" i="7"/>
  <c r="E39" i="7"/>
  <c r="AE22" i="16"/>
  <c r="AD23" i="16"/>
  <c r="AD24" i="16"/>
  <c r="AE42" i="16"/>
  <c r="N51" i="16"/>
  <c r="N52" i="16"/>
  <c r="N54" i="16"/>
  <c r="AD55" i="16"/>
  <c r="AD58" i="16"/>
  <c r="AD59" i="16"/>
  <c r="AD60" i="16"/>
  <c r="N61" i="16"/>
  <c r="C72" i="16"/>
  <c r="C73" i="16"/>
  <c r="V14" i="7"/>
  <c r="E19" i="7"/>
  <c r="E25" i="7"/>
  <c r="E28" i="7"/>
  <c r="W33" i="7"/>
  <c r="I31" i="7"/>
  <c r="I12" i="7" s="1"/>
  <c r="M36" i="7"/>
  <c r="V38" i="7"/>
  <c r="N39" i="7"/>
  <c r="M39" i="7" s="1"/>
  <c r="AR40" i="7"/>
  <c r="G31" i="3"/>
  <c r="N15" i="16"/>
  <c r="C16" i="16"/>
  <c r="C50" i="16"/>
  <c r="C52" i="16"/>
  <c r="AB52" i="16" s="1"/>
  <c r="C53" i="16"/>
  <c r="C54" i="16"/>
  <c r="AB54" i="16" s="1"/>
  <c r="C55" i="16"/>
  <c r="AB55" i="16" s="1"/>
  <c r="C78" i="16"/>
  <c r="C80" i="16"/>
  <c r="AC90" i="16"/>
  <c r="U15" i="7"/>
  <c r="AD16" i="7"/>
  <c r="D18" i="7"/>
  <c r="M19" i="7"/>
  <c r="AU19" i="7" s="1"/>
  <c r="AD19" i="7"/>
  <c r="V20" i="7"/>
  <c r="M22" i="7"/>
  <c r="AD22" i="7"/>
  <c r="D24" i="7"/>
  <c r="M28" i="7"/>
  <c r="E29" i="7"/>
  <c r="F30" i="7"/>
  <c r="X37" i="7"/>
  <c r="V41" i="7"/>
  <c r="N46" i="16"/>
  <c r="Z31" i="7"/>
  <c r="Z12" i="7" s="1"/>
  <c r="U14" i="16"/>
  <c r="W12" i="16"/>
  <c r="W11" i="16" s="1"/>
  <c r="AY18" i="7"/>
  <c r="N21" i="16"/>
  <c r="C23" i="16"/>
  <c r="C25" i="16"/>
  <c r="AB25" i="16" s="1"/>
  <c r="C30" i="16"/>
  <c r="AE31" i="16"/>
  <c r="N33" i="16"/>
  <c r="C48" i="16"/>
  <c r="AD51" i="16"/>
  <c r="N53" i="16"/>
  <c r="AB53" i="16" s="1"/>
  <c r="N64" i="16"/>
  <c r="N71" i="16"/>
  <c r="N85" i="16"/>
  <c r="AE94" i="16"/>
  <c r="N110" i="16"/>
  <c r="K12" i="7"/>
  <c r="AS13" i="7"/>
  <c r="V16" i="7"/>
  <c r="W17" i="7"/>
  <c r="E33" i="7"/>
  <c r="AR36" i="7"/>
  <c r="AV37" i="7"/>
  <c r="F12" i="16"/>
  <c r="F11" i="16" s="1"/>
  <c r="N48" i="16"/>
  <c r="AB48" i="16" s="1"/>
  <c r="AD17" i="7"/>
  <c r="D28" i="7"/>
  <c r="C28" i="7" s="1"/>
  <c r="X40" i="7"/>
  <c r="U40" i="7" s="1"/>
  <c r="M12" i="16"/>
  <c r="M11" i="16" s="1"/>
  <c r="C24" i="16"/>
  <c r="C29" i="16"/>
  <c r="H12" i="16"/>
  <c r="H11" i="16" s="1"/>
  <c r="AD43" i="16"/>
  <c r="C49" i="16"/>
  <c r="AB49" i="16" s="1"/>
  <c r="N50" i="16"/>
  <c r="C62" i="16"/>
  <c r="N68" i="16"/>
  <c r="N86" i="16"/>
  <c r="AE93" i="16"/>
  <c r="AB12" i="7"/>
  <c r="AD14" i="7"/>
  <c r="AY15" i="7"/>
  <c r="D17" i="7"/>
  <c r="AY17" i="7"/>
  <c r="U19" i="7"/>
  <c r="F21" i="7"/>
  <c r="D22" i="7"/>
  <c r="M30" i="7"/>
  <c r="O31" i="7"/>
  <c r="AW31" i="7" s="1"/>
  <c r="F32" i="7"/>
  <c r="AR34" i="7"/>
  <c r="AD35" i="7"/>
  <c r="AR38" i="7"/>
  <c r="AO37" i="7"/>
  <c r="N37" i="16"/>
  <c r="C41" i="16"/>
  <c r="AB43" i="16"/>
  <c r="N66" i="16"/>
  <c r="AE98" i="16"/>
  <c r="Q14" i="16"/>
  <c r="P14" i="16" s="1"/>
  <c r="C26" i="16"/>
  <c r="AE27" i="16"/>
  <c r="C31" i="16"/>
  <c r="AB32" i="16"/>
  <c r="C40" i="16"/>
  <c r="AD45" i="16"/>
  <c r="N47" i="16"/>
  <c r="C51" i="16"/>
  <c r="N65" i="16"/>
  <c r="N72" i="16"/>
  <c r="C76" i="16"/>
  <c r="C79" i="16"/>
  <c r="C83" i="16"/>
  <c r="AJ12" i="7"/>
  <c r="M29" i="7"/>
  <c r="AD37" i="7"/>
  <c r="M38" i="7"/>
  <c r="C32" i="3"/>
  <c r="AD21" i="7"/>
  <c r="Y12" i="7"/>
  <c r="AR15" i="7"/>
  <c r="AD31" i="16"/>
  <c r="N38" i="16"/>
  <c r="AD46" i="16"/>
  <c r="C87" i="16"/>
  <c r="AE99" i="16"/>
  <c r="AD15" i="7"/>
  <c r="AU15" i="7" s="1"/>
  <c r="E18" i="7"/>
  <c r="C18" i="7" s="1"/>
  <c r="AY19" i="7"/>
  <c r="E22" i="7"/>
  <c r="C22" i="7" s="1"/>
  <c r="U27" i="7"/>
  <c r="T27" i="7" s="1"/>
  <c r="AY33" i="7"/>
  <c r="AR37" i="7"/>
  <c r="F53" i="3"/>
  <c r="J12" i="16"/>
  <c r="J11" i="16" s="1"/>
  <c r="AC13" i="16"/>
  <c r="AD56" i="16"/>
  <c r="N56" i="16"/>
  <c r="AD34" i="16"/>
  <c r="N34" i="16"/>
  <c r="E14" i="16"/>
  <c r="C17" i="16"/>
  <c r="AB17" i="16" s="1"/>
  <c r="N18" i="16"/>
  <c r="E19" i="16"/>
  <c r="C19" i="16" s="1"/>
  <c r="C20" i="16"/>
  <c r="C22" i="16"/>
  <c r="C27" i="16"/>
  <c r="AD32" i="16"/>
  <c r="C34" i="16"/>
  <c r="N35" i="16"/>
  <c r="AD36" i="16"/>
  <c r="AD37" i="16"/>
  <c r="AD38" i="16"/>
  <c r="AD44" i="16"/>
  <c r="C46" i="16"/>
  <c r="AB46" i="16" s="1"/>
  <c r="AD48" i="16"/>
  <c r="AD50" i="16"/>
  <c r="AD52" i="16"/>
  <c r="AD54" i="16"/>
  <c r="C56" i="16"/>
  <c r="AE56" i="16"/>
  <c r="C66" i="16"/>
  <c r="N67" i="16"/>
  <c r="C70" i="16"/>
  <c r="C71" i="16"/>
  <c r="C75" i="16"/>
  <c r="N80" i="16"/>
  <c r="N81" i="16"/>
  <c r="C84" i="16"/>
  <c r="C90" i="16"/>
  <c r="AE101" i="16"/>
  <c r="AD17" i="16"/>
  <c r="AD20" i="16"/>
  <c r="AD21" i="16"/>
  <c r="N26" i="16"/>
  <c r="AB36" i="16"/>
  <c r="AD39" i="16"/>
  <c r="AE41" i="16"/>
  <c r="N58" i="16"/>
  <c r="N59" i="16"/>
  <c r="N89" i="16"/>
  <c r="AE96" i="16"/>
  <c r="AE97" i="16"/>
  <c r="AB19" i="16"/>
  <c r="AC12" i="16"/>
  <c r="C15" i="16"/>
  <c r="AB16" i="16"/>
  <c r="C18" i="16"/>
  <c r="N20" i="16"/>
  <c r="N22" i="16"/>
  <c r="C33" i="16"/>
  <c r="C38" i="16"/>
  <c r="N41" i="16"/>
  <c r="C42" i="16"/>
  <c r="C58" i="16"/>
  <c r="C59" i="16"/>
  <c r="C60" i="16"/>
  <c r="N63" i="16"/>
  <c r="N74" i="16"/>
  <c r="N75" i="16"/>
  <c r="N77" i="16"/>
  <c r="C81" i="16"/>
  <c r="C82" i="16"/>
  <c r="N84" i="16"/>
  <c r="X90" i="16"/>
  <c r="X12" i="16" s="1"/>
  <c r="X11" i="16" s="1"/>
  <c r="N111" i="16"/>
  <c r="N112" i="16"/>
  <c r="K32" i="3"/>
  <c r="K33" i="3"/>
  <c r="F33" i="3"/>
  <c r="I33" i="3" s="1"/>
  <c r="AZ13" i="7"/>
  <c r="AD18" i="7"/>
  <c r="AU18" i="7" s="1"/>
  <c r="V19" i="7"/>
  <c r="M21" i="7"/>
  <c r="AU21" i="7" s="1"/>
  <c r="AR22" i="7"/>
  <c r="E23" i="7"/>
  <c r="AZ31" i="7"/>
  <c r="V34" i="7"/>
  <c r="AY38" i="7"/>
  <c r="V39" i="7"/>
  <c r="AM39" i="7" s="1"/>
  <c r="AV41" i="7"/>
  <c r="U29" i="7"/>
  <c r="T29" i="7" s="1"/>
  <c r="AV32" i="7"/>
  <c r="E34" i="7"/>
  <c r="N34" i="7"/>
  <c r="AV34" i="7" s="1"/>
  <c r="AM36" i="7"/>
  <c r="AV36" i="7"/>
  <c r="AY39" i="7"/>
  <c r="AD39" i="7"/>
  <c r="AU39" i="7" s="1"/>
  <c r="AW40" i="7"/>
  <c r="AY41" i="7"/>
  <c r="D15" i="7"/>
  <c r="C15" i="7" s="1"/>
  <c r="W16" i="7"/>
  <c r="AY16" i="7"/>
  <c r="F17" i="7"/>
  <c r="M20" i="7"/>
  <c r="AD20" i="7"/>
  <c r="W21" i="7"/>
  <c r="AY21" i="7"/>
  <c r="U22" i="7"/>
  <c r="M23" i="7"/>
  <c r="E24" i="7"/>
  <c r="C24" i="7" s="1"/>
  <c r="E26" i="7"/>
  <c r="C26" i="7" s="1"/>
  <c r="E27" i="7"/>
  <c r="D30" i="7"/>
  <c r="C30" i="7" s="1"/>
  <c r="AO32" i="7"/>
  <c r="AY32" i="7"/>
  <c r="AR33" i="7"/>
  <c r="AR35" i="7"/>
  <c r="AY36" i="7"/>
  <c r="AY37" i="7"/>
  <c r="AY40" i="7"/>
  <c r="X41" i="7"/>
  <c r="W15" i="7"/>
  <c r="T19" i="7"/>
  <c r="U23" i="7"/>
  <c r="Q13" i="7"/>
  <c r="AH13" i="7"/>
  <c r="AY13" i="7" s="1"/>
  <c r="M17" i="7"/>
  <c r="AU17" i="7" s="1"/>
  <c r="W18" i="7"/>
  <c r="F19" i="7"/>
  <c r="W20" i="7"/>
  <c r="M24" i="7"/>
  <c r="M26" i="7"/>
  <c r="AA32" i="7"/>
  <c r="V33" i="7"/>
  <c r="AD33" i="7"/>
  <c r="X36" i="7"/>
  <c r="V37" i="7"/>
  <c r="AV38" i="7"/>
  <c r="V40" i="7"/>
  <c r="AM40" i="7" s="1"/>
  <c r="V15" i="7"/>
  <c r="AM15" i="7" s="1"/>
  <c r="I48" i="3"/>
  <c r="I40" i="3"/>
  <c r="K21" i="3"/>
  <c r="K50" i="3"/>
  <c r="F57" i="3"/>
  <c r="I57" i="3" s="1"/>
  <c r="E63" i="3"/>
  <c r="K63" i="3" s="1"/>
  <c r="I47" i="3"/>
  <c r="F35" i="3"/>
  <c r="K24" i="3"/>
  <c r="I52" i="3"/>
  <c r="F11" i="3"/>
  <c r="I36" i="3"/>
  <c r="I44" i="3"/>
  <c r="J35" i="3"/>
  <c r="J39" i="3"/>
  <c r="J50" i="3"/>
  <c r="J81" i="3"/>
  <c r="K31" i="3"/>
  <c r="F39" i="3"/>
  <c r="I43" i="3"/>
  <c r="I56" i="3"/>
  <c r="I83" i="3"/>
  <c r="I51" i="3"/>
  <c r="I55" i="3"/>
  <c r="I58" i="3"/>
  <c r="J68" i="3"/>
  <c r="E78" i="3"/>
  <c r="K78" i="3" s="1"/>
  <c r="F81" i="3"/>
  <c r="I50" i="3"/>
  <c r="K53" i="3"/>
  <c r="I14" i="3"/>
  <c r="K14" i="3"/>
  <c r="I29" i="3"/>
  <c r="J31" i="3"/>
  <c r="I37" i="3"/>
  <c r="I41" i="3"/>
  <c r="I42" i="3"/>
  <c r="J53" i="3"/>
  <c r="C53" i="3"/>
  <c r="F68" i="3"/>
  <c r="I68" i="3" s="1"/>
  <c r="J78" i="3"/>
  <c r="I84" i="3"/>
  <c r="E81" i="3"/>
  <c r="K81" i="3" s="1"/>
  <c r="F63" i="3"/>
  <c r="I63" i="3" s="1"/>
  <c r="I45" i="3"/>
  <c r="G46" i="3"/>
  <c r="G38" i="3" s="1"/>
  <c r="J63" i="3"/>
  <c r="I66" i="3"/>
  <c r="D17" i="3"/>
  <c r="K64" i="3"/>
  <c r="K85" i="3"/>
  <c r="H10" i="3"/>
  <c r="H9" i="3" s="1"/>
  <c r="G23" i="3"/>
  <c r="F32" i="3"/>
  <c r="J32" i="3"/>
  <c r="C35" i="3"/>
  <c r="C39" i="3"/>
  <c r="D46" i="3"/>
  <c r="H46" i="3"/>
  <c r="H38" i="3" s="1"/>
  <c r="H34" i="3" s="1"/>
  <c r="H30" i="3" s="1"/>
  <c r="I49" i="3"/>
  <c r="I71" i="3"/>
  <c r="F78" i="3"/>
  <c r="I78" i="3" s="1"/>
  <c r="C81" i="3"/>
  <c r="H23" i="3"/>
  <c r="K23" i="3" s="1"/>
  <c r="J33" i="3"/>
  <c r="I54" i="3"/>
  <c r="E68" i="3"/>
  <c r="K68" i="3" s="1"/>
  <c r="D12" i="3"/>
  <c r="C19" i="3"/>
  <c r="F24" i="3"/>
  <c r="I24" i="3" s="1"/>
  <c r="AM19" i="7"/>
  <c r="AU16" i="7"/>
  <c r="AN14" i="7"/>
  <c r="W24" i="7"/>
  <c r="U24" i="7"/>
  <c r="AO27" i="7"/>
  <c r="W28" i="7"/>
  <c r="U28" i="7"/>
  <c r="J13" i="7"/>
  <c r="J12" i="7" s="1"/>
  <c r="N13" i="7"/>
  <c r="D14" i="7"/>
  <c r="AR14" i="7"/>
  <c r="F15" i="7"/>
  <c r="D16" i="7"/>
  <c r="E17" i="7"/>
  <c r="C17" i="7" s="1"/>
  <c r="U17" i="7"/>
  <c r="F18" i="7"/>
  <c r="V18" i="7"/>
  <c r="AM18" i="7" s="1"/>
  <c r="W19" i="7"/>
  <c r="D20" i="7"/>
  <c r="C20" i="7" s="1"/>
  <c r="E21" i="7"/>
  <c r="C21" i="7" s="1"/>
  <c r="U21" i="7"/>
  <c r="F22" i="7"/>
  <c r="V22" i="7"/>
  <c r="F24" i="7"/>
  <c r="W26" i="7"/>
  <c r="F28" i="7"/>
  <c r="AS31" i="7"/>
  <c r="F37" i="7"/>
  <c r="D37" i="7"/>
  <c r="D38" i="7"/>
  <c r="F38" i="7"/>
  <c r="AO39" i="7"/>
  <c r="W39" i="7"/>
  <c r="U39" i="7"/>
  <c r="U41" i="7"/>
  <c r="AO41" i="7"/>
  <c r="W41" i="7"/>
  <c r="F27" i="7"/>
  <c r="AN27" i="7" s="1"/>
  <c r="D27" i="7"/>
  <c r="C27" i="7" s="1"/>
  <c r="G36" i="7"/>
  <c r="G31" i="7" s="1"/>
  <c r="H31" i="7"/>
  <c r="H12" i="7" s="1"/>
  <c r="AP12" i="7" s="1"/>
  <c r="U38" i="7"/>
  <c r="AO38" i="7"/>
  <c r="W38" i="7"/>
  <c r="M40" i="7"/>
  <c r="AU40" i="7" s="1"/>
  <c r="AV40" i="7"/>
  <c r="G13" i="7"/>
  <c r="AA13" i="7"/>
  <c r="AE13" i="7"/>
  <c r="AE12" i="7" s="1"/>
  <c r="E14" i="7"/>
  <c r="M14" i="7"/>
  <c r="U14" i="7"/>
  <c r="E16" i="7"/>
  <c r="AM16" i="7" s="1"/>
  <c r="U16" i="7"/>
  <c r="T16" i="7" s="1"/>
  <c r="V17" i="7"/>
  <c r="D19" i="7"/>
  <c r="C19" i="7" s="1"/>
  <c r="E20" i="7"/>
  <c r="AM20" i="7" s="1"/>
  <c r="U20" i="7"/>
  <c r="T20" i="7" s="1"/>
  <c r="V21" i="7"/>
  <c r="W22" i="7"/>
  <c r="F23" i="7"/>
  <c r="AN23" i="7" s="1"/>
  <c r="D23" i="7"/>
  <c r="V23" i="7"/>
  <c r="AR23" i="7"/>
  <c r="F26" i="7"/>
  <c r="M27" i="7"/>
  <c r="AO28" i="7"/>
  <c r="D29" i="7"/>
  <c r="C29" i="7" s="1"/>
  <c r="F29" i="7"/>
  <c r="AN29" i="7" s="1"/>
  <c r="AO29" i="7"/>
  <c r="U30" i="7"/>
  <c r="T30" i="7" s="1"/>
  <c r="AK30" i="7" s="1"/>
  <c r="W30" i="7"/>
  <c r="F33" i="7"/>
  <c r="AN33" i="7" s="1"/>
  <c r="F40" i="7"/>
  <c r="D40" i="7"/>
  <c r="C40" i="7" s="1"/>
  <c r="D41" i="7"/>
  <c r="F41" i="7"/>
  <c r="AI12" i="7"/>
  <c r="AZ12" i="7" s="1"/>
  <c r="X13" i="7"/>
  <c r="D25" i="7"/>
  <c r="C25" i="7" s="1"/>
  <c r="AK25" i="7" s="1"/>
  <c r="F25" i="7"/>
  <c r="W34" i="7"/>
  <c r="AO34" i="7"/>
  <c r="U34" i="7"/>
  <c r="D35" i="7"/>
  <c r="AO35" i="7"/>
  <c r="F35" i="7"/>
  <c r="AN35" i="7" s="1"/>
  <c r="F39" i="7"/>
  <c r="D39" i="7"/>
  <c r="D32" i="7"/>
  <c r="AL32" i="7" s="1"/>
  <c r="V32" i="7"/>
  <c r="T32" i="7" s="1"/>
  <c r="N33" i="7"/>
  <c r="U33" i="7"/>
  <c r="F34" i="7"/>
  <c r="AY34" i="7"/>
  <c r="E35" i="7"/>
  <c r="M37" i="7"/>
  <c r="U37" i="7"/>
  <c r="E38" i="7"/>
  <c r="AM38" i="7" s="1"/>
  <c r="AR39" i="7"/>
  <c r="E41" i="7"/>
  <c r="AM41" i="7" s="1"/>
  <c r="W32" i="7"/>
  <c r="AD32" i="7"/>
  <c r="AO33" i="7"/>
  <c r="AV33" i="7"/>
  <c r="M35" i="7"/>
  <c r="AU35" i="7" s="1"/>
  <c r="U35" i="7"/>
  <c r="AV35" i="7"/>
  <c r="AD36" i="7"/>
  <c r="AU36" i="7" s="1"/>
  <c r="AW36" i="7"/>
  <c r="AD38" i="7"/>
  <c r="AD41" i="7"/>
  <c r="AU41" i="7" s="1"/>
  <c r="V35" i="7"/>
  <c r="E37" i="7"/>
  <c r="AM37" i="7" s="1"/>
  <c r="W37" i="7"/>
  <c r="AB15" i="16"/>
  <c r="AD15" i="16"/>
  <c r="AB21" i="16"/>
  <c r="D11" i="16"/>
  <c r="K14" i="16"/>
  <c r="AD19" i="16"/>
  <c r="AD22" i="16"/>
  <c r="AD26" i="16"/>
  <c r="AD28" i="16"/>
  <c r="N28" i="16"/>
  <c r="AB28" i="16" s="1"/>
  <c r="N31" i="16"/>
  <c r="AB31" i="16" s="1"/>
  <c r="C35" i="16"/>
  <c r="AD27" i="16"/>
  <c r="N27" i="16"/>
  <c r="AB44" i="16"/>
  <c r="AD62" i="16"/>
  <c r="N62" i="16"/>
  <c r="N40" i="16"/>
  <c r="AD40" i="16"/>
  <c r="N42" i="16"/>
  <c r="AD42" i="16"/>
  <c r="AB22" i="16"/>
  <c r="AD29" i="16"/>
  <c r="N30" i="16"/>
  <c r="AB30" i="16" s="1"/>
  <c r="C37" i="16"/>
  <c r="AB37" i="16" s="1"/>
  <c r="C61" i="16"/>
  <c r="C65" i="16"/>
  <c r="N70" i="16"/>
  <c r="AD25" i="16"/>
  <c r="AD30" i="16"/>
  <c r="N99" i="16"/>
  <c r="N60" i="16"/>
  <c r="U90" i="16"/>
  <c r="AE90" i="16" s="1"/>
  <c r="N94" i="16"/>
  <c r="N97" i="16"/>
  <c r="AD103" i="16"/>
  <c r="AD104" i="16"/>
  <c r="AD105" i="16"/>
  <c r="AD106" i="16"/>
  <c r="AD107" i="16"/>
  <c r="AD108" i="16"/>
  <c r="AD109" i="16"/>
  <c r="N23" i="16"/>
  <c r="N24" i="16"/>
  <c r="AB24" i="16" s="1"/>
  <c r="N29" i="16"/>
  <c r="AB29" i="16" s="1"/>
  <c r="N39" i="16"/>
  <c r="AB39" i="16" s="1"/>
  <c r="N93" i="16"/>
  <c r="N96" i="16"/>
  <c r="E102" i="16"/>
  <c r="AB33" i="16" l="1"/>
  <c r="AB47" i="16"/>
  <c r="AB50" i="16"/>
  <c r="AB60" i="16"/>
  <c r="AB51" i="16"/>
  <c r="AB23" i="16"/>
  <c r="N90" i="16"/>
  <c r="O12" i="7"/>
  <c r="AW12" i="7" s="1"/>
  <c r="AN15" i="7"/>
  <c r="AS12" i="7"/>
  <c r="AB27" i="16"/>
  <c r="AB40" i="16"/>
  <c r="C39" i="7"/>
  <c r="AK20" i="7"/>
  <c r="AH12" i="7"/>
  <c r="AY12" i="7" s="1"/>
  <c r="AO36" i="7"/>
  <c r="Q12" i="7"/>
  <c r="AU20" i="7"/>
  <c r="AV39" i="7"/>
  <c r="AB18" i="16"/>
  <c r="AU37" i="7"/>
  <c r="U12" i="16"/>
  <c r="AB35" i="16"/>
  <c r="W36" i="7"/>
  <c r="AB59" i="16"/>
  <c r="U36" i="7"/>
  <c r="T36" i="7" s="1"/>
  <c r="AB42" i="16"/>
  <c r="AO40" i="7"/>
  <c r="AB41" i="16"/>
  <c r="AB56" i="16"/>
  <c r="X31" i="7"/>
  <c r="AO31" i="7" s="1"/>
  <c r="AU38" i="7"/>
  <c r="AK19" i="7"/>
  <c r="F31" i="3"/>
  <c r="I31" i="3" s="1"/>
  <c r="AB38" i="16"/>
  <c r="AB20" i="16"/>
  <c r="Q12" i="16"/>
  <c r="Q11" i="16" s="1"/>
  <c r="AM33" i="7"/>
  <c r="W40" i="7"/>
  <c r="AN40" i="7" s="1"/>
  <c r="M34" i="7"/>
  <c r="AU34" i="7" s="1"/>
  <c r="AL29" i="7"/>
  <c r="AB62" i="16"/>
  <c r="AN37" i="7"/>
  <c r="C23" i="7"/>
  <c r="AM22" i="7"/>
  <c r="D34" i="7"/>
  <c r="AB26" i="16"/>
  <c r="AD57" i="16"/>
  <c r="AE14" i="16"/>
  <c r="AD14" i="16"/>
  <c r="N14" i="16"/>
  <c r="AB34" i="16"/>
  <c r="AB58" i="16"/>
  <c r="AL25" i="7"/>
  <c r="T18" i="7"/>
  <c r="AK18" i="7" s="1"/>
  <c r="AR32" i="7"/>
  <c r="AA31" i="7"/>
  <c r="AR31" i="7" s="1"/>
  <c r="C34" i="7"/>
  <c r="AM34" i="7"/>
  <c r="AK29" i="7"/>
  <c r="AM23" i="7"/>
  <c r="AN39" i="7"/>
  <c r="C37" i="7"/>
  <c r="F13" i="7"/>
  <c r="AD13" i="7"/>
  <c r="AN34" i="7"/>
  <c r="M13" i="7"/>
  <c r="G12" i="7"/>
  <c r="AL27" i="7"/>
  <c r="V13" i="7"/>
  <c r="AM13" i="7" s="1"/>
  <c r="AP31" i="7"/>
  <c r="T15" i="7"/>
  <c r="AK15" i="7" s="1"/>
  <c r="C46" i="3"/>
  <c r="C38" i="3" s="1"/>
  <c r="F46" i="3"/>
  <c r="F38" i="3" s="1"/>
  <c r="F34" i="3" s="1"/>
  <c r="I53" i="3"/>
  <c r="I81" i="3"/>
  <c r="E46" i="3"/>
  <c r="K46" i="3" s="1"/>
  <c r="G21" i="3"/>
  <c r="G34" i="3"/>
  <c r="G30" i="3" s="1"/>
  <c r="I19" i="3"/>
  <c r="C12" i="3"/>
  <c r="J46" i="3"/>
  <c r="D38" i="3"/>
  <c r="I35" i="3"/>
  <c r="E35" i="3"/>
  <c r="J23" i="3"/>
  <c r="F23" i="3"/>
  <c r="I23" i="3" s="1"/>
  <c r="C17" i="3"/>
  <c r="I17" i="3" s="1"/>
  <c r="J17" i="3"/>
  <c r="H8" i="3"/>
  <c r="D11" i="3"/>
  <c r="J12" i="3"/>
  <c r="I39" i="3"/>
  <c r="I32" i="3"/>
  <c r="AL35" i="7"/>
  <c r="T35" i="7"/>
  <c r="AL40" i="7"/>
  <c r="T40" i="7"/>
  <c r="AK40" i="7" s="1"/>
  <c r="C32" i="7"/>
  <c r="AL34" i="7"/>
  <c r="T34" i="7"/>
  <c r="T23" i="7"/>
  <c r="C41" i="7"/>
  <c r="E13" i="7"/>
  <c r="AL38" i="7"/>
  <c r="T38" i="7"/>
  <c r="AK27" i="7"/>
  <c r="T21" i="7"/>
  <c r="AK21" i="7" s="1"/>
  <c r="C16" i="7"/>
  <c r="AK16" i="7" s="1"/>
  <c r="D13" i="7"/>
  <c r="C14" i="7"/>
  <c r="AN28" i="7"/>
  <c r="AM14" i="7"/>
  <c r="W13" i="7"/>
  <c r="AN41" i="7"/>
  <c r="AL26" i="7"/>
  <c r="T26" i="7"/>
  <c r="AK26" i="7" s="1"/>
  <c r="T28" i="7"/>
  <c r="AK28" i="7" s="1"/>
  <c r="AL28" i="7"/>
  <c r="AU32" i="7"/>
  <c r="AD31" i="7"/>
  <c r="AD12" i="7" s="1"/>
  <c r="E31" i="7"/>
  <c r="T33" i="7"/>
  <c r="X12" i="7"/>
  <c r="AO12" i="7" s="1"/>
  <c r="AN22" i="7"/>
  <c r="AL41" i="7"/>
  <c r="T41" i="7"/>
  <c r="AK41" i="7" s="1"/>
  <c r="AU14" i="7"/>
  <c r="AL37" i="7"/>
  <c r="T37" i="7"/>
  <c r="V31" i="7"/>
  <c r="AM32" i="7"/>
  <c r="AM35" i="7"/>
  <c r="AN32" i="7"/>
  <c r="M33" i="7"/>
  <c r="N31" i="7"/>
  <c r="AV31" i="7" s="1"/>
  <c r="C35" i="7"/>
  <c r="D33" i="7"/>
  <c r="C33" i="7" s="1"/>
  <c r="AM21" i="7"/>
  <c r="AM17" i="7"/>
  <c r="U13" i="7"/>
  <c r="T14" i="7"/>
  <c r="AR13" i="7"/>
  <c r="AA12" i="7"/>
  <c r="AR12" i="7" s="1"/>
  <c r="AN38" i="7"/>
  <c r="D36" i="7"/>
  <c r="C36" i="7" s="1"/>
  <c r="F36" i="7"/>
  <c r="AL39" i="7"/>
  <c r="T39" i="7"/>
  <c r="AK39" i="7" s="1"/>
  <c r="C38" i="7"/>
  <c r="T17" i="7"/>
  <c r="AK17" i="7" s="1"/>
  <c r="AL24" i="7"/>
  <c r="T24" i="7"/>
  <c r="AK24" i="7" s="1"/>
  <c r="T22" i="7"/>
  <c r="AK22" i="7" s="1"/>
  <c r="C14" i="16"/>
  <c r="AD102" i="16"/>
  <c r="C102" i="16"/>
  <c r="AB102" i="16" s="1"/>
  <c r="AC11" i="16"/>
  <c r="AK34" i="7" l="1"/>
  <c r="U31" i="7"/>
  <c r="AU13" i="7"/>
  <c r="AE13" i="16"/>
  <c r="K12" i="16"/>
  <c r="K11" i="16" s="1"/>
  <c r="C31" i="7"/>
  <c r="F30" i="3"/>
  <c r="AB14" i="16"/>
  <c r="W31" i="7"/>
  <c r="U12" i="7"/>
  <c r="C13" i="7"/>
  <c r="C12" i="7" s="1"/>
  <c r="AN36" i="7"/>
  <c r="AK23" i="7"/>
  <c r="N12" i="16"/>
  <c r="N11" i="16" s="1"/>
  <c r="AD13" i="16"/>
  <c r="P12" i="16"/>
  <c r="AB57" i="16"/>
  <c r="AK37" i="7"/>
  <c r="AL33" i="7"/>
  <c r="AK32" i="7"/>
  <c r="AK38" i="7"/>
  <c r="T13" i="7"/>
  <c r="AM31" i="7"/>
  <c r="J21" i="3"/>
  <c r="F21" i="3"/>
  <c r="G10" i="3"/>
  <c r="G9" i="3" s="1"/>
  <c r="G8" i="3" s="1"/>
  <c r="F8" i="3" s="1"/>
  <c r="K35" i="3"/>
  <c r="I12" i="3"/>
  <c r="E12" i="3"/>
  <c r="K12" i="3" s="1"/>
  <c r="C11" i="3"/>
  <c r="D10" i="3"/>
  <c r="J11" i="3"/>
  <c r="I38" i="3"/>
  <c r="E38" i="3"/>
  <c r="K38" i="3" s="1"/>
  <c r="I46" i="3"/>
  <c r="J38" i="3"/>
  <c r="D34" i="3"/>
  <c r="C34" i="3"/>
  <c r="AK14" i="7"/>
  <c r="AL36" i="7"/>
  <c r="V12" i="7"/>
  <c r="E12" i="7"/>
  <c r="F31" i="7"/>
  <c r="F12" i="7" s="1"/>
  <c r="W12" i="7"/>
  <c r="AN13" i="7"/>
  <c r="D31" i="7"/>
  <c r="D12" i="7" s="1"/>
  <c r="AK35" i="7"/>
  <c r="N12" i="7"/>
  <c r="AV12" i="7" s="1"/>
  <c r="T31" i="7"/>
  <c r="AK31" i="7" s="1"/>
  <c r="M31" i="7"/>
  <c r="M12" i="7" s="1"/>
  <c r="AU12" i="7" s="1"/>
  <c r="AU33" i="7"/>
  <c r="AK36" i="7"/>
  <c r="AK33" i="7"/>
  <c r="E12" i="16"/>
  <c r="U11" i="16"/>
  <c r="AN12" i="7" l="1"/>
  <c r="AE12" i="16"/>
  <c r="AE11" i="16"/>
  <c r="AD12" i="16"/>
  <c r="AL12" i="7"/>
  <c r="P11" i="16"/>
  <c r="AB13" i="16"/>
  <c r="AL31" i="7"/>
  <c r="AM12" i="7"/>
  <c r="I21" i="3"/>
  <c r="F10" i="3"/>
  <c r="F9" i="3" s="1"/>
  <c r="J10" i="3"/>
  <c r="D9" i="3"/>
  <c r="I34" i="3"/>
  <c r="C30" i="3"/>
  <c r="I11" i="3"/>
  <c r="E11" i="3"/>
  <c r="C10" i="3"/>
  <c r="C9" i="3" s="1"/>
  <c r="E34" i="3"/>
  <c r="K34" i="3" s="1"/>
  <c r="J34" i="3"/>
  <c r="D30" i="3"/>
  <c r="J30" i="3" s="1"/>
  <c r="AK13" i="7"/>
  <c r="T12" i="7"/>
  <c r="AK12" i="7" s="1"/>
  <c r="AU31" i="7"/>
  <c r="AN31" i="7"/>
  <c r="E11" i="16"/>
  <c r="C11" i="16" s="1"/>
  <c r="C12" i="16"/>
  <c r="AB12" i="16" s="1"/>
  <c r="E10" i="3" l="1"/>
  <c r="K11" i="3"/>
  <c r="D8" i="3"/>
  <c r="J8" i="3" s="1"/>
  <c r="J9" i="3"/>
  <c r="I30" i="3"/>
  <c r="E30" i="3"/>
  <c r="K30" i="3" s="1"/>
  <c r="I10" i="3"/>
  <c r="AD11" i="16"/>
  <c r="AB11" i="16"/>
  <c r="K10" i="3" l="1"/>
  <c r="E9" i="3"/>
  <c r="C8" i="3"/>
  <c r="I8" i="3" s="1"/>
  <c r="I9" i="3"/>
  <c r="K9" i="3" l="1"/>
  <c r="E8" i="3"/>
  <c r="K8" i="3" s="1"/>
  <c r="E38" i="4" l="1"/>
  <c r="E39" i="4"/>
  <c r="E40" i="4"/>
  <c r="E41" i="4"/>
  <c r="E42" i="4"/>
  <c r="E43" i="4"/>
  <c r="G68" i="2"/>
  <c r="H68" i="2"/>
  <c r="G69" i="2"/>
  <c r="H69" i="2"/>
  <c r="G70" i="2"/>
  <c r="H70" i="2"/>
  <c r="G71" i="2"/>
  <c r="G72" i="2"/>
  <c r="G73" i="2"/>
  <c r="G74" i="2"/>
  <c r="G75" i="2"/>
  <c r="G58" i="2"/>
  <c r="H58" i="2"/>
  <c r="G59" i="2"/>
  <c r="G60" i="2"/>
  <c r="G61" i="2"/>
  <c r="G62" i="2"/>
  <c r="H62" i="2"/>
  <c r="G63" i="2"/>
  <c r="H63" i="2"/>
  <c r="G65" i="2"/>
  <c r="H65" i="2"/>
  <c r="G66" i="2"/>
  <c r="H66" i="2"/>
  <c r="G67" i="2"/>
  <c r="H67" i="2"/>
  <c r="F75" i="2"/>
  <c r="H75" i="2" s="1"/>
  <c r="F74" i="2"/>
  <c r="H74" i="2" s="1"/>
  <c r="F73" i="2"/>
  <c r="H73" i="2" s="1"/>
  <c r="F72" i="2"/>
  <c r="H72" i="2" s="1"/>
  <c r="F71" i="2"/>
  <c r="H71" i="2" s="1"/>
  <c r="F64" i="2"/>
  <c r="E64" i="2"/>
  <c r="D64" i="2"/>
  <c r="H64" i="2" s="1"/>
  <c r="C64" i="2"/>
  <c r="F61" i="2"/>
  <c r="H61" i="2" s="1"/>
  <c r="F60" i="2"/>
  <c r="H60" i="2" s="1"/>
  <c r="F59" i="2"/>
  <c r="H59" i="2" s="1"/>
  <c r="E57" i="2"/>
  <c r="G57" i="2" s="1"/>
  <c r="D57" i="2"/>
  <c r="H56" i="2"/>
  <c r="G56" i="2"/>
  <c r="H55" i="2"/>
  <c r="G55" i="2"/>
  <c r="G54" i="2"/>
  <c r="F54" i="2"/>
  <c r="D54" i="2"/>
  <c r="G53" i="2"/>
  <c r="F53" i="2"/>
  <c r="D53" i="2"/>
  <c r="F52" i="2"/>
  <c r="H52" i="2" s="1"/>
  <c r="E52" i="2"/>
  <c r="G52" i="2" s="1"/>
  <c r="H51" i="2"/>
  <c r="G51" i="2"/>
  <c r="H50" i="2"/>
  <c r="G50" i="2"/>
  <c r="G49" i="2"/>
  <c r="F49" i="2"/>
  <c r="D49" i="2"/>
  <c r="G48" i="2"/>
  <c r="F48" i="2"/>
  <c r="H48" i="2" s="1"/>
  <c r="E47" i="2"/>
  <c r="F47" i="2" s="1"/>
  <c r="D47" i="2"/>
  <c r="E46" i="2"/>
  <c r="G46" i="2" s="1"/>
  <c r="D46" i="2"/>
  <c r="G45" i="2"/>
  <c r="F45" i="2"/>
  <c r="D45" i="2"/>
  <c r="G44" i="2"/>
  <c r="F44" i="2"/>
  <c r="D44" i="2"/>
  <c r="G43" i="2"/>
  <c r="F43" i="2"/>
  <c r="H43" i="2" s="1"/>
  <c r="G42" i="2"/>
  <c r="F42" i="2"/>
  <c r="F39" i="2" s="1"/>
  <c r="D42" i="2"/>
  <c r="G41" i="2"/>
  <c r="F41" i="2"/>
  <c r="D41" i="2"/>
  <c r="D39" i="2" s="1"/>
  <c r="H40" i="2"/>
  <c r="G40" i="2"/>
  <c r="E39" i="2"/>
  <c r="C39" i="2"/>
  <c r="G38" i="2"/>
  <c r="F38" i="2"/>
  <c r="D38" i="2"/>
  <c r="H37" i="2"/>
  <c r="G37" i="2"/>
  <c r="G36" i="2"/>
  <c r="D36" i="2"/>
  <c r="D35" i="2" s="1"/>
  <c r="H35" i="2" s="1"/>
  <c r="C35" i="2"/>
  <c r="G35" i="2" s="1"/>
  <c r="G34" i="2"/>
  <c r="F34" i="2"/>
  <c r="D34" i="2"/>
  <c r="D33" i="2"/>
  <c r="D32" i="2"/>
  <c r="G31" i="2"/>
  <c r="F31" i="2"/>
  <c r="H31" i="2" s="1"/>
  <c r="D31" i="2"/>
  <c r="G30" i="2"/>
  <c r="F30" i="2"/>
  <c r="D30" i="2"/>
  <c r="G29" i="2"/>
  <c r="F29" i="2"/>
  <c r="D29" i="2"/>
  <c r="G28" i="2"/>
  <c r="F28" i="2"/>
  <c r="D28" i="2"/>
  <c r="E27" i="2"/>
  <c r="C27" i="2"/>
  <c r="G26" i="2"/>
  <c r="F26" i="2"/>
  <c r="D26" i="2"/>
  <c r="G25" i="2"/>
  <c r="F25" i="2"/>
  <c r="F24" i="2" s="1"/>
  <c r="D25" i="2"/>
  <c r="E24" i="2"/>
  <c r="C24" i="2"/>
  <c r="G23" i="2"/>
  <c r="D23" i="2"/>
  <c r="H23" i="2" s="1"/>
  <c r="G22" i="2"/>
  <c r="D22" i="2"/>
  <c r="H22" i="2" s="1"/>
  <c r="G21" i="2"/>
  <c r="F21" i="2"/>
  <c r="D21" i="2"/>
  <c r="G20" i="2"/>
  <c r="F20" i="2"/>
  <c r="D20" i="2"/>
  <c r="G19" i="2"/>
  <c r="F19" i="2"/>
  <c r="D19" i="2"/>
  <c r="E18" i="2"/>
  <c r="C18" i="2"/>
  <c r="G18" i="2" s="1"/>
  <c r="G17" i="2"/>
  <c r="D17" i="2"/>
  <c r="H17" i="2" s="1"/>
  <c r="G16" i="2"/>
  <c r="D16" i="2"/>
  <c r="H16" i="2" s="1"/>
  <c r="G15" i="2"/>
  <c r="F15" i="2"/>
  <c r="D15" i="2"/>
  <c r="G14" i="2"/>
  <c r="F14" i="2"/>
  <c r="H14" i="2" s="1"/>
  <c r="D14" i="2"/>
  <c r="G13" i="2"/>
  <c r="F13" i="2"/>
  <c r="D13" i="2"/>
  <c r="D12" i="2" s="1"/>
  <c r="E12" i="2"/>
  <c r="C12" i="2"/>
  <c r="E33" i="1"/>
  <c r="E34" i="1"/>
  <c r="E36" i="1"/>
  <c r="E37" i="1"/>
  <c r="E39" i="1"/>
  <c r="E40" i="1"/>
  <c r="E41" i="1"/>
  <c r="C38" i="1"/>
  <c r="E38" i="1" s="1"/>
  <c r="D35" i="1"/>
  <c r="C35" i="1"/>
  <c r="D22" i="1"/>
  <c r="H13" i="2" l="1"/>
  <c r="D24" i="2"/>
  <c r="G27" i="2"/>
  <c r="H49" i="2"/>
  <c r="H26" i="2"/>
  <c r="D27" i="2"/>
  <c r="G64" i="2"/>
  <c r="G39" i="2"/>
  <c r="H53" i="2"/>
  <c r="H20" i="2"/>
  <c r="H25" i="2"/>
  <c r="H38" i="2"/>
  <c r="H21" i="2"/>
  <c r="H29" i="2"/>
  <c r="H47" i="2"/>
  <c r="H54" i="2"/>
  <c r="H15" i="2"/>
  <c r="H41" i="2"/>
  <c r="H44" i="2"/>
  <c r="D18" i="2"/>
  <c r="D11" i="2" s="1"/>
  <c r="D10" i="2" s="1"/>
  <c r="D9" i="2" s="1"/>
  <c r="H19" i="2"/>
  <c r="H42" i="2"/>
  <c r="C10" i="4"/>
  <c r="C8" i="4" s="1"/>
  <c r="G24" i="2"/>
  <c r="H28" i="2"/>
  <c r="H45" i="2"/>
  <c r="F57" i="2"/>
  <c r="H57" i="2" s="1"/>
  <c r="F12" i="2"/>
  <c r="H12" i="2" s="1"/>
  <c r="E11" i="2"/>
  <c r="E10" i="2" s="1"/>
  <c r="H24" i="2"/>
  <c r="G12" i="2"/>
  <c r="F18" i="2"/>
  <c r="H18" i="2" s="1"/>
  <c r="F27" i="2"/>
  <c r="H27" i="2" s="1"/>
  <c r="H30" i="2"/>
  <c r="H34" i="2"/>
  <c r="G47" i="2"/>
  <c r="C11" i="2"/>
  <c r="C10" i="2" s="1"/>
  <c r="C9" i="2" s="1"/>
  <c r="H36" i="2"/>
  <c r="H39" i="2"/>
  <c r="F46" i="2"/>
  <c r="H46" i="2" s="1"/>
  <c r="E35" i="1"/>
  <c r="G11" i="2" l="1"/>
  <c r="G10" i="2"/>
  <c r="E9" i="2"/>
  <c r="G9" i="2" s="1"/>
  <c r="F11" i="2"/>
  <c r="H11" i="2" l="1"/>
  <c r="F10" i="2"/>
  <c r="H10" i="2" l="1"/>
  <c r="F9" i="2"/>
  <c r="H9" i="2" s="1"/>
  <c r="D12" i="1" l="1"/>
  <c r="C12" i="1"/>
  <c r="C9" i="1"/>
  <c r="D10" i="1"/>
  <c r="D9" i="1" s="1"/>
  <c r="K11" i="6" l="1"/>
  <c r="I11" i="6" s="1"/>
  <c r="T20" i="6"/>
  <c r="S20" i="6"/>
  <c r="R20" i="6"/>
  <c r="P20" i="6"/>
  <c r="K20" i="6"/>
  <c r="E20" i="6"/>
  <c r="C20" i="6" s="1"/>
  <c r="T19" i="6"/>
  <c r="S19" i="6"/>
  <c r="R19" i="6"/>
  <c r="P19" i="6"/>
  <c r="K19" i="6"/>
  <c r="E19" i="6"/>
  <c r="C19" i="6" s="1"/>
  <c r="T18" i="6"/>
  <c r="S18" i="6"/>
  <c r="R18" i="6"/>
  <c r="P18" i="6"/>
  <c r="K18" i="6"/>
  <c r="E18" i="6"/>
  <c r="C18" i="6"/>
  <c r="T17" i="6"/>
  <c r="S17" i="6"/>
  <c r="R17" i="6"/>
  <c r="P17" i="6"/>
  <c r="K17" i="6"/>
  <c r="I17" i="6" s="1"/>
  <c r="E17" i="6"/>
  <c r="C17" i="6" s="1"/>
  <c r="T16" i="6"/>
  <c r="S16" i="6"/>
  <c r="R16" i="6"/>
  <c r="P16" i="6"/>
  <c r="K16" i="6"/>
  <c r="E16" i="6"/>
  <c r="C16" i="6" s="1"/>
  <c r="T15" i="6"/>
  <c r="S15" i="6"/>
  <c r="R15" i="6"/>
  <c r="P15" i="6"/>
  <c r="K15" i="6"/>
  <c r="E15" i="6"/>
  <c r="C15" i="6" s="1"/>
  <c r="T14" i="6"/>
  <c r="S14" i="6"/>
  <c r="R14" i="6"/>
  <c r="P14" i="6"/>
  <c r="K14" i="6"/>
  <c r="E14" i="6"/>
  <c r="C14" i="6" s="1"/>
  <c r="T13" i="6"/>
  <c r="S13" i="6"/>
  <c r="R13" i="6"/>
  <c r="P13" i="6"/>
  <c r="K13" i="6"/>
  <c r="I13" i="6" s="1"/>
  <c r="E13" i="6"/>
  <c r="C13" i="6" s="1"/>
  <c r="T12" i="6"/>
  <c r="S12" i="6"/>
  <c r="R12" i="6"/>
  <c r="P12" i="6"/>
  <c r="K12" i="6"/>
  <c r="E12" i="6"/>
  <c r="C12" i="6" s="1"/>
  <c r="T11" i="6"/>
  <c r="S11" i="6"/>
  <c r="R11" i="6"/>
  <c r="P11" i="6"/>
  <c r="E11" i="6"/>
  <c r="C11" i="6" s="1"/>
  <c r="N10" i="6"/>
  <c r="M10" i="6"/>
  <c r="L10" i="6"/>
  <c r="J10" i="6"/>
  <c r="H10" i="6"/>
  <c r="G10" i="6"/>
  <c r="F10" i="6"/>
  <c r="D10" i="6"/>
  <c r="Q19" i="6" l="1"/>
  <c r="E10" i="6"/>
  <c r="Q15" i="6"/>
  <c r="O11" i="6"/>
  <c r="S10" i="6"/>
  <c r="T10" i="6"/>
  <c r="Q13" i="6"/>
  <c r="Q14" i="6"/>
  <c r="I15" i="6"/>
  <c r="O15" i="6" s="1"/>
  <c r="Q17" i="6"/>
  <c r="Q18" i="6"/>
  <c r="I19" i="6"/>
  <c r="O19" i="6" s="1"/>
  <c r="K10" i="6"/>
  <c r="P10" i="6"/>
  <c r="R10" i="6"/>
  <c r="Q11" i="6"/>
  <c r="Q12" i="6"/>
  <c r="Q16" i="6"/>
  <c r="Q20" i="6"/>
  <c r="C10" i="6"/>
  <c r="O13" i="6"/>
  <c r="O17" i="6"/>
  <c r="I12" i="6"/>
  <c r="O12" i="6" s="1"/>
  <c r="I14" i="6"/>
  <c r="O14" i="6" s="1"/>
  <c r="I16" i="6"/>
  <c r="O16" i="6" s="1"/>
  <c r="I18" i="6"/>
  <c r="O18" i="6" s="1"/>
  <c r="I20" i="6"/>
  <c r="O20" i="6" s="1"/>
  <c r="Q10" i="6" l="1"/>
  <c r="I10" i="6"/>
  <c r="O10" i="6" s="1"/>
  <c r="D11" i="4" l="1"/>
  <c r="D10" i="4" l="1"/>
  <c r="D8" i="4" s="1"/>
  <c r="E28" i="1"/>
  <c r="E24" i="1"/>
  <c r="E25" i="1"/>
  <c r="E26" i="1"/>
  <c r="E27" i="1"/>
  <c r="E10" i="4" l="1"/>
  <c r="C22" i="1"/>
  <c r="E35" i="4" l="1"/>
  <c r="E33" i="4"/>
  <c r="E31" i="4"/>
  <c r="E30" i="4"/>
  <c r="E22" i="4"/>
  <c r="E21" i="4"/>
  <c r="E17" i="4"/>
  <c r="E11" i="4"/>
  <c r="E24" i="4"/>
  <c r="E29" i="4"/>
  <c r="E34" i="4"/>
  <c r="E37" i="4"/>
  <c r="E9" i="4"/>
  <c r="E32" i="1"/>
  <c r="E32" i="4" l="1"/>
  <c r="E23" i="4"/>
  <c r="E14" i="4"/>
  <c r="E16" i="4"/>
  <c r="E18" i="4"/>
  <c r="E20" i="4"/>
  <c r="E26" i="4"/>
  <c r="E36" i="4"/>
  <c r="E28" i="4"/>
  <c r="E19" i="4"/>
  <c r="E12" i="4" l="1"/>
  <c r="E8" i="4"/>
  <c r="D29" i="1" l="1"/>
  <c r="D21" i="1" l="1"/>
  <c r="C29" i="1" l="1"/>
  <c r="C8" i="1"/>
  <c r="C21" i="1" l="1"/>
  <c r="D8" i="1" l="1"/>
  <c r="E10" i="1"/>
  <c r="E11" i="1"/>
  <c r="E12" i="1"/>
  <c r="E13" i="1"/>
  <c r="E14" i="1"/>
  <c r="E15" i="1"/>
  <c r="E16" i="1"/>
  <c r="E17" i="1"/>
  <c r="E21" i="1"/>
  <c r="E22" i="1"/>
  <c r="E23" i="1"/>
  <c r="E29" i="1"/>
  <c r="E30" i="1"/>
  <c r="E31" i="1"/>
  <c r="E9" i="1"/>
  <c r="E8" i="1" l="1"/>
  <c r="E15" i="4" l="1"/>
</calcChain>
</file>

<file path=xl/sharedStrings.xml><?xml version="1.0" encoding="utf-8"?>
<sst xmlns="http://schemas.openxmlformats.org/spreadsheetml/2006/main" count="885" uniqueCount="540">
  <si>
    <t>Biểu số 62/CK-NSNN</t>
  </si>
  <si>
    <t>Đơn vị: Triệu đồng</t>
  </si>
  <si>
    <t>STT</t>
  </si>
  <si>
    <t>NỘI DUNG</t>
  </si>
  <si>
    <t xml:space="preserve">DỰ TOÁN </t>
  </si>
  <si>
    <t>QUYẾT TOÁN</t>
  </si>
  <si>
    <t>SO SÁNH (%)</t>
  </si>
  <si>
    <t>A</t>
  </si>
  <si>
    <t>B</t>
  </si>
  <si>
    <t>3=2/1</t>
  </si>
  <si>
    <t>TỔNG NGUỒN THU NSĐP</t>
  </si>
  <si>
    <t>Thu ngân sách địa phương được hưởng theo phân cấp</t>
  </si>
  <si>
    <t>-</t>
  </si>
  <si>
    <t>Thu NSĐP được hưởng 100%</t>
  </si>
  <si>
    <t xml:space="preserve">Thu NSĐP hưởng từ các khoản thu phân chia </t>
  </si>
  <si>
    <t>Thu bổ sung từ NSTW</t>
  </si>
  <si>
    <t>Thu bổ sung cân đối</t>
  </si>
  <si>
    <t>Thu bổ sung có mục tiêu</t>
  </si>
  <si>
    <t>Thu từ quỹ dự trữ tài chính</t>
  </si>
  <si>
    <t>Thu chuyển nguồn từ năm trước chuyển sang</t>
  </si>
  <si>
    <t>TỔNG CHI NSĐP</t>
  </si>
  <si>
    <t> I</t>
  </si>
  <si>
    <t>Chi cân đối NSĐP</t>
  </si>
  <si>
    <t>Chi đầu tư phát triển</t>
  </si>
  <si>
    <t>Chi thường xuyên</t>
  </si>
  <si>
    <t>Chi bổ sung quỹ dự trữ tài chính</t>
  </si>
  <si>
    <t>Dự phòng ngân sách</t>
  </si>
  <si>
    <t>II</t>
  </si>
  <si>
    <t>Chi các chương trình mục tiêu</t>
  </si>
  <si>
    <t>Chi các chương trình mục tiêu quốc gia</t>
  </si>
  <si>
    <t>Chi các chương trình mục tiêu, nhiệm vụ</t>
  </si>
  <si>
    <t>III</t>
  </si>
  <si>
    <t>Chi chuyển nguồn sang năm sau</t>
  </si>
  <si>
    <t>C</t>
  </si>
  <si>
    <t>D</t>
  </si>
  <si>
    <t>E</t>
  </si>
  <si>
    <t>Biểu số 63/CK-NSNN</t>
  </si>
  <si>
    <t>DỰ TOÁN</t>
  </si>
  <si>
    <t>5=3/1</t>
  </si>
  <si>
    <t>6=4/2</t>
  </si>
  <si>
    <t>TỔNG THU CÂN ĐỐI NSNN</t>
  </si>
  <si>
    <t>I</t>
  </si>
  <si>
    <t>Thu nội địa</t>
  </si>
  <si>
    <t>Thuế thu nhập cá nhân</t>
  </si>
  <si>
    <t>Thuế bảo vệ môi trường</t>
  </si>
  <si>
    <t>Lệ phí trước bạ</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</si>
  <si>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</si>
  <si>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</si>
  <si>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</si>
  <si>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</si>
  <si>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</si>
  <si>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tiền cấp quyền khai thác khoáng sản</t>
  </si>
  <si>
    <t>Thu khác ngân sách</t>
  </si>
  <si>
    <t>Thu từ quỹ đất công ích, hoa lợi công sản khác</t>
  </si>
  <si>
    <t>Thu từ dầu thô</t>
  </si>
  <si>
    <t>Thuế xuất khẩu</t>
  </si>
  <si>
    <t>Thuế nhập khẩu</t>
  </si>
  <si>
    <t>Thu khác</t>
  </si>
  <si>
    <t>IV</t>
  </si>
  <si>
    <t>THU KẾT DƯ NĂM TRƯỚC</t>
  </si>
  <si>
    <t>THU CHUYỂN NGUỒN TỪ NĂM TRƯỚC CHUYỂN SANG</t>
  </si>
  <si>
    <t>Biểu số 64/CK-NSNN</t>
  </si>
  <si>
    <t>1=2+3</t>
  </si>
  <si>
    <t>4=5+6</t>
  </si>
  <si>
    <t>7=4/1</t>
  </si>
  <si>
    <t>8=5/2</t>
  </si>
  <si>
    <t>9=6/3</t>
  </si>
  <si>
    <t>CHI CÂN ĐỐI NSĐP</t>
  </si>
  <si>
    <t>Chi đầu tư cho các dự án</t>
  </si>
  <si>
    <t>Chi giáo dục - đào tạo và dạy nghề</t>
  </si>
  <si>
    <t>Chi khoa học và công nghệ</t>
  </si>
  <si>
    <t>Chi đầu tư từ nguồn thu tiền sử dụng đất</t>
  </si>
  <si>
    <t>Chi đầu tư từ nguồn thu xổ số kiến thiết</t>
  </si>
  <si>
    <t>Chi đầu tư phát triển khác</t>
  </si>
  <si>
    <t>Trong đó:</t>
  </si>
  <si>
    <t>V</t>
  </si>
  <si>
    <t>VI</t>
  </si>
  <si>
    <t>CHI CÁC CHƯƠNG TRÌNH MỤC TIÊU</t>
  </si>
  <si>
    <t>CHI CHUYỂN NGUỒN SANG NĂM SAU</t>
  </si>
  <si>
    <t>Biểu số 65/CK-NSNN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</si>
  <si>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</si>
  <si>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</si>
  <si>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</si>
  <si>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</si>
  <si>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</si>
  <si>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</si>
  <si>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</si>
  <si>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</si>
  <si>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</si>
  <si>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</si>
  <si>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</si>
  <si>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</si>
  <si>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</si>
  <si>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</si>
  <si>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</si>
  <si>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</si>
  <si>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</si>
  <si>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</si>
  <si>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</si>
  <si>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66/CK-NSNN</t>
  </si>
  <si>
    <t>TÊN ĐƠN VỊ</t>
  </si>
  <si>
    <t>TỔNG SỐ</t>
  </si>
  <si>
    <t>CHI ĐẦU TƯ PHÁT TRIỂN (KHÔNG KỂ CHƯƠNG TRÌNH MTQG)</t>
  </si>
  <si>
    <t>CHI THƯỜNG XUYÊN (KHÔNG KỂ CHƯƠNG TRÌNH MTQG)</t>
  </si>
  <si>
    <t>CHI CHƯƠNG TRÌNH MTQG</t>
  </si>
  <si>
    <t>CHI CHUYỂN NGUỒN SANG NGÂN SÁCH NĂM SAU</t>
  </si>
  <si>
    <t>CHI ĐẦU TƯ PHÁT TRIỂN</t>
  </si>
  <si>
    <t>CHI THƯỜNG XUYÊN</t>
  </si>
  <si>
    <t>Biểu số 67/CK-NSNN</t>
  </si>
  <si>
    <t>Tên đơn vị</t>
  </si>
  <si>
    <t>Dự toán</t>
  </si>
  <si>
    <t>Quyết toán</t>
  </si>
  <si>
    <t>So sánh (%)</t>
  </si>
  <si>
    <t>Tổng số</t>
  </si>
  <si>
    <t>Bổ sung cân đối</t>
  </si>
  <si>
    <t>Bổ sung có mục tiêu</t>
  </si>
  <si>
    <t>Vốn đầu tư để thực hiện các chương trình mục tiêu, nhiệm vụ</t>
  </si>
  <si>
    <t>Vốn sự nghiệp để thực hiện các chế độ, chính sách, nhiệm vụ</t>
  </si>
  <si>
    <t>Vốn thực hiện các chương trình mục tiêu quốc gia</t>
  </si>
  <si>
    <t>13=7/1</t>
  </si>
  <si>
    <t>14=8/2</t>
  </si>
  <si>
    <t>15=9/3</t>
  </si>
  <si>
    <t>16=10/4</t>
  </si>
  <si>
    <t>17=11/5</t>
  </si>
  <si>
    <t>18=12/6</t>
  </si>
  <si>
    <t>Biểu số 68/CK-NSNN</t>
  </si>
  <si>
    <t>Nội dung</t>
  </si>
  <si>
    <t>Trong đó</t>
  </si>
  <si>
    <t>Đầu tư phát triển</t>
  </si>
  <si>
    <t>Kinh phí sự nghiệp</t>
  </si>
  <si>
    <t>Vốn trong nước</t>
  </si>
  <si>
    <t>Vốn ngoài nước</t>
  </si>
  <si>
    <t>Chương trình mục tiêu quốc gia xây dựng nông thôn mới</t>
  </si>
  <si>
    <t>Chương trình mục tiêu quốc gia giảm nghèo bền vững</t>
  </si>
  <si>
    <t>21=4/1</t>
  </si>
  <si>
    <t>22=5/2</t>
  </si>
  <si>
    <t>Hội Nông dân tỉnh</t>
  </si>
  <si>
    <t>Ban Dân tộc</t>
  </si>
  <si>
    <t>Huyện Kon Rẫy</t>
  </si>
  <si>
    <t>Huyện Đăk Hà</t>
  </si>
  <si>
    <t>Thành phố Kon Tum</t>
  </si>
  <si>
    <t>Huyện Đăk Tô</t>
  </si>
  <si>
    <t xml:space="preserve">Huyện Ngọc Hồi </t>
  </si>
  <si>
    <t>Thu từ ngân sách cấp dưới nộp lên</t>
  </si>
  <si>
    <t>2.1</t>
  </si>
  <si>
    <t>2.2</t>
  </si>
  <si>
    <t>2.3</t>
  </si>
  <si>
    <t>6=7+8</t>
  </si>
  <si>
    <t>+</t>
  </si>
  <si>
    <t>3.1</t>
  </si>
  <si>
    <t>3.2</t>
  </si>
  <si>
    <t>Vốn nước ngoài</t>
  </si>
  <si>
    <t xml:space="preserve"> Chi nộp ngân sách cấp trên</t>
  </si>
  <si>
    <t>Huyện Đăk Glei</t>
  </si>
  <si>
    <t>Huyện Tu Mơ Rông</t>
  </si>
  <si>
    <t>Huyện Ia H'Drai</t>
  </si>
  <si>
    <t xml:space="preserve">Dự toán </t>
  </si>
  <si>
    <t xml:space="preserve">Quyết toán </t>
  </si>
  <si>
    <t>1=2+..+6</t>
  </si>
  <si>
    <t>14=15+16</t>
  </si>
  <si>
    <t xml:space="preserve">      Đơn vị: Triệu đồng</t>
  </si>
  <si>
    <t xml:space="preserve">Chi đầu tư phát triển </t>
  </si>
  <si>
    <t>Thu NSĐP</t>
  </si>
  <si>
    <t>Văn phòng Điều phối NTM tỉnh</t>
  </si>
  <si>
    <t>Hội Liên hiệp Phụ nữ tỉnh</t>
  </si>
  <si>
    <t>Chi thường xuyên cấp DT</t>
  </si>
  <si>
    <t>Chi thường xuyên cấp Lệnh chi</t>
  </si>
  <si>
    <t>Sự nghiệp</t>
  </si>
  <si>
    <t>Đâu tư</t>
  </si>
  <si>
    <t>Vay của ngân sách địa phương</t>
  </si>
  <si>
    <t>Liên minh HTX tỉnh</t>
  </si>
  <si>
    <t>Huyện Kon Plong</t>
  </si>
  <si>
    <t>Huyện Sa Thầy</t>
  </si>
  <si>
    <t>CHI TRẢ NỢ GỐC CỦA NSĐP</t>
  </si>
  <si>
    <t>Từ nguồn vay để trả nợ gốc</t>
  </si>
  <si>
    <t>Từ nguồn bội thu, tăng thu, tiết kiệm chi, kết dư ngân sách cấp tỉnh</t>
  </si>
  <si>
    <t>TỔNG MỨC VAY CỦA NSĐP</t>
  </si>
  <si>
    <t>Vay để bù đắp bội chi</t>
  </si>
  <si>
    <t>Vay để trả nợ gốc</t>
  </si>
  <si>
    <t>TỔNG MỨC DƯ NỢ VAY CUỐI NĂM CỦA NSĐP</t>
  </si>
  <si>
    <t>Đ</t>
  </si>
  <si>
    <t>Thuế tiêu thụ đặc biệt thu từ hàng hóa nhập khẩu</t>
  </si>
  <si>
    <t>Tổng thu NSNN</t>
  </si>
  <si>
    <t>TỔNG NGUỒN THU NSNN (A+B+C+D)</t>
  </si>
  <si>
    <t>Thuế giá trị gia tăng</t>
  </si>
  <si>
    <t>Thuế thu nhập doanh nghiệp</t>
  </si>
  <si>
    <t>Thuế tài nguyên</t>
  </si>
  <si>
    <t>Thuế tài nguyên nước</t>
  </si>
  <si>
    <t>Thuế tài nguyên khác</t>
  </si>
  <si>
    <t>Thuế tài nguyên rừng</t>
  </si>
  <si>
    <t>4.1</t>
  </si>
  <si>
    <t>4.2</t>
  </si>
  <si>
    <t>4.3</t>
  </si>
  <si>
    <t>Thuế TTĐB hàng nội địa</t>
  </si>
  <si>
    <t>4.4</t>
  </si>
  <si>
    <t xml:space="preserve">Thu phí, lệ phí </t>
  </si>
  <si>
    <t>Phí và lệ phí trung ương</t>
  </si>
  <si>
    <t>Phí và lệ phí tỉnh</t>
  </si>
  <si>
    <t>Phí và lệ phí huyện</t>
  </si>
  <si>
    <t>Phí và lệ phí xã, phường</t>
  </si>
  <si>
    <t>Thu từ hoạt động xổ số kiến thiết</t>
  </si>
  <si>
    <t xml:space="preserve">Thu từ hoạt động xuất nhập khẩu </t>
  </si>
  <si>
    <t>Thuế bảo vệ môi trường thu từ hàng hóa nhập khẩu</t>
  </si>
  <si>
    <t>Thuế giá trị gia tăng thu từ hàng hóa nhập khẩu</t>
  </si>
  <si>
    <t>Thu viện trợ, các khoản huy động, đóng góp</t>
  </si>
  <si>
    <t>Bao gồm</t>
  </si>
  <si>
    <t xml:space="preserve">Ngân sách cấp tỉnh </t>
  </si>
  <si>
    <t xml:space="preserve">Ngân sách huyện </t>
  </si>
  <si>
    <t>Ngân sách địa phương</t>
  </si>
  <si>
    <t>Trong đó: Chia theo nguồn vốn</t>
  </si>
  <si>
    <t>Chi đầu tư và hỗ trợ vốn cho các doanh nghiệp cung cấp sản phẩm, dịch vụ công ích do Nhà nước đặt hàng, các tổ chức kinh tế, các tổ chức tài chính của địa phương theo quy định của pháp luật</t>
  </si>
  <si>
    <t>Chương trình MTQG NTM</t>
  </si>
  <si>
    <t>Chương trình MTQG giảm nghèo bền vững</t>
  </si>
  <si>
    <t xml:space="preserve">Chi các chương trình mục tiêu, nhiệm vụ </t>
  </si>
  <si>
    <t>II.1</t>
  </si>
  <si>
    <t>Bổ sung vốn đầu tư</t>
  </si>
  <si>
    <t>II.2</t>
  </si>
  <si>
    <t xml:space="preserve">Bổ sung mục tiêu vốn sự nghiệp </t>
  </si>
  <si>
    <t>Hỗ trợ các Hội Văn học nghệ thuật và Hội Nhà báo địa phương</t>
  </si>
  <si>
    <t>Hỗ trợ chi phí học tập và miễn giảm học phí theo Nghị định 86</t>
  </si>
  <si>
    <t>Hỗ trợ học sinh và trường phổ thông ở xã, thôn đặc biệt khó khăn Nghị định 116/2016/NĐ-CP</t>
  </si>
  <si>
    <t xml:space="preserve">Học bổng học sinh dân tộc nội trú; học bổng và phương tiện học tập cho học sinh khuyết tật; hỗ trợ chi phí học tập cho sinh viên dân tộc thiểu số thuộc hộ nghèo, hộ cận nghèo; chính sách nội trú đối với học sinh, sinh viên học cao đẳng, trung cấp </t>
  </si>
  <si>
    <t>Học bổng học sinh dân tộc nội trú</t>
  </si>
  <si>
    <t>Học bổng và phương tiện học tập cho học sinh khuyết tật TTLT 42</t>
  </si>
  <si>
    <t xml:space="preserve">Chính sách nội trú đối với học sinh, sinh viên học cao đẳng, trung cấp </t>
  </si>
  <si>
    <t>Hỗ trợ kinh phí đào tạo cán bộ quân sự cấp xã</t>
  </si>
  <si>
    <t>Hỗ trợ đào tạo cán bộ cơ sở vùng Tây Nguyên theo Quyết định 124/QĐ-TTg</t>
  </si>
  <si>
    <t>Kinh phí thực hiện đề án giảm thiểu hôn nhân cận huyết thống</t>
  </si>
  <si>
    <t>Hỗ trợ kinh phí mua thẻ BHYT người nghèo, người sống ở vùng kinh tế xã hội ĐBKK, người dân tộc thiểu số sống ở vùng KT-XH khó khăn</t>
  </si>
  <si>
    <t>Hỗ trợ kinh phí mua thẻ BHYT cho trẻ em dưới 6 tuổi</t>
  </si>
  <si>
    <t>Hỗ trợ kinh phí mua thẻ BHYT cho các đối tượng cựu chiến binh, thanh niên xung phong</t>
  </si>
  <si>
    <t>Hỗ trợ kinh phí mua thẻ BHYT cho các đối tượng bảo trợ xã hội</t>
  </si>
  <si>
    <t>Hỗ trợ kinh phí mua thẻ BHYT cho các đối tượng học sinh, sinh viên (Cấp KP trực tiếp về BHXH tỉnh)</t>
  </si>
  <si>
    <t>Hỗ trợ thực hiện chính sách đối với đối tượng bảo trợ xã hội theo NĐ 136</t>
  </si>
  <si>
    <t xml:space="preserve"> Hỗ trợ tiền điện hộ nghèo, hộ chính sách xã hội</t>
  </si>
  <si>
    <t>Hỗ trợ chính sách đối với người có uy tín trong đồng bào dân tộc thiểu số</t>
  </si>
  <si>
    <t>Hỗ trợ tổ chức đơn vị sử dụng lao động là người dân tộc thiểu số</t>
  </si>
  <si>
    <t xml:space="preserve">Thu thủy lợi phí, giá dịch vụ thủy lợi </t>
  </si>
  <si>
    <t>Bổ sung kinh phí thực hiện nhiệm vụ đảm bảo trật tự an toán giao thông</t>
  </si>
  <si>
    <t>Kinh phí thực hiện Quyết định 2085/QĐ-TTg ngày 31/10/2016 của Thủ tướng Chính phủ</t>
  </si>
  <si>
    <t>Kinh phí thực hiện Quyết định 2086/QĐ-TTg ngày 31/10/2016 của Thủ tướng Chính phủ</t>
  </si>
  <si>
    <t>Bổ sung thực hiện một số Chương trình mục tiêu</t>
  </si>
  <si>
    <t>Chương trình mục tiêu Giáo dục nghề nghiệp, việc làm và an toàn lao động</t>
  </si>
  <si>
    <t>Phát triển hệ thống trợ giúp xã hội</t>
  </si>
  <si>
    <t>Chương trình mục tiêu ATGT, phòng cháy, tội phạm, ma túy</t>
  </si>
  <si>
    <t>Chương trình mục tiêu Phát triển lâm nghiệp bền vững</t>
  </si>
  <si>
    <t>Chương trình mục tiêu ứng phó với biến đổi khí hậu và tăng trưởng xanh</t>
  </si>
  <si>
    <t>CHI NỘP TRẢ NGÂN SÁCH CẤP TRÊN</t>
  </si>
  <si>
    <t>CHI BỔ SUNG CÂN ĐỐI CHO NGÂN SÁCH CẤP HUYỆN</t>
  </si>
  <si>
    <t>Chi thường xuyên (không kể chương trình MTQG va TƯ BSMT vốn sự nghiệp)</t>
  </si>
  <si>
    <t>TƯ BSMT vốn sự nghiệp</t>
  </si>
  <si>
    <t>QUYẾT TOÁN THU NGÂN SÁCH NHÀ NƯỚC NĂM 2020</t>
  </si>
  <si>
    <t>QUYẾT TOÁN CHI NGÂN SÁCH ĐỊA PHƯƠNG, CHI NGÂN SÁCH CẤP TỈNH  VÀ CHI NGÂN SÁCH HUYỆN THEO CƠ CẤU CHI NĂM 2020</t>
  </si>
  <si>
    <t>QUYẾT TOÁN CHI NGÂN SÁCH CẤP TỈNH THEO TỪNG LĨNH VỰC NĂM 2020</t>
  </si>
  <si>
    <t>QUYẾT TOÁN CHI NGÂN SÁCH CẤP TỈNH THEO CHO TỪNG CƠ QUAN, TỔ CHỨC NĂM 2020</t>
  </si>
  <si>
    <t>QUYẾT TOÁN CHI BỔ SUNG TỪ NGÂN SÁCH CẤP TỈNH CHO NGÂN SÁCH HUYỆN NĂM 2020</t>
  </si>
  <si>
    <t>QUYẾT TOÁN CHI CHƯƠNG TRÌNH MỤC TIÊU QUỐC GIA NĂM 2020</t>
  </si>
  <si>
    <t>Thu kết dư năm trước</t>
  </si>
  <si>
    <t>Thu huy động, đóng góp</t>
  </si>
  <si>
    <t>Chi trả nợ gốc, lãi các khoản do chính quyền địa phương vay</t>
  </si>
  <si>
    <t>Thu từ khu vực doanh nghiệp có vốn đầu tư nước ngoài (3)</t>
  </si>
  <si>
    <t>Trong đó: - Thuế BVMT thu từ hàng hóa sản xuất, kinh doanh trong nước</t>
  </si>
  <si>
    <t xml:space="preserve">                   - Thuế BVMT thu từ hàng hóa nhập khẩu</t>
  </si>
  <si>
    <t>(Chi tiết theo sắc thuế)</t>
  </si>
  <si>
    <t>Tăng thu từ các dự án khai thác quỹ đất so với dự toán Trung ương giao (phân bổ chi đầu tư các dự án, nhiệm vụ theo tiến độ nguồn thu thực tế)</t>
  </si>
  <si>
    <t>*</t>
  </si>
  <si>
    <t>Đất dự án khu trung tâm phường Ngô Mây, thành phố Kon Tum (1449)</t>
  </si>
  <si>
    <t>Tiền thuê đất trả tiền một lần thuộc Trung đoàn 66, Sư đoàn 10 (3605)</t>
  </si>
  <si>
    <t>Tiền sử dụng đất thuộc Trung đoàn 66, Sư đoàn 10 (1449)</t>
  </si>
  <si>
    <t>Tiền bán tài sản liền với đất thuộc Trung đoàn 66, Sư đoàn 10 (3365)</t>
  </si>
  <si>
    <t>VAY CỦA NGÂN SÁCH ĐỊA PHƯƠNG</t>
  </si>
  <si>
    <t>Địa phương vay từ nguồn cho vay lại của Chính phủ</t>
  </si>
  <si>
    <t>TỔNG CHI NGÂN SÁCH ĐỊA PHƯƠNG (BAO GỒM BỘI CHI NSĐP)</t>
  </si>
  <si>
    <t>A.1</t>
  </si>
  <si>
    <t>Chi nguồn giao tăng thu so dự toán TƯ giao (Chi từ nguồn tăng thu các dự án khai thác quỹ đất)</t>
  </si>
  <si>
    <t>A.2</t>
  </si>
  <si>
    <t>Chi từ nguồn bội chi NSĐP</t>
  </si>
  <si>
    <t xml:space="preserve"> -</t>
  </si>
  <si>
    <t>Dự án giáo dục và đào tạo nhân lực y tế phục vụ cải cách hệ thống y tế, thực hiện ghi thu ghi chi theo tiến độ giải ngân và trong phạm vi dự toán được giao.</t>
  </si>
  <si>
    <t>Dự án  an ninh y tế khu vực tiểu vùng Mê Kông mở rộng, thực hiện ghi thu ghi chi theo tiến độ giải ngân và trong phạm vi dự toán được giao.</t>
  </si>
  <si>
    <t>Dự án chăm sóc sức khỏe nhân dân các tỉnh Tây Nguyên giai đoạn 2, thực hiện ghi thu ghi chi theo tiến độ giải ngân và trong phạm vi dự toán được giao.</t>
  </si>
  <si>
    <t>Chương trình mở rộng quy mô vệ sinh nước sạch nông thôn theo phương thức dựa trên kết quả, thực hiện ghi thu ghi chi theo tiến độ giải ngân và trong phạm vi dự toán được giao.</t>
  </si>
  <si>
    <t>Dự án hỗ trợ quản trị nhà nước tại địa phương trách nhiệm giải trình, đáp ứng được tại tỉnh Kon Tum,  thực hiện ghi thu ghi chi theo tiến độ giải ngân.</t>
  </si>
  <si>
    <t xml:space="preserve">Nguồn còn lại chưa phân bổ </t>
  </si>
  <si>
    <t xml:space="preserve">Hỗ trợ chi phí ăn trưa đối với trẻ em mẫu giáo và chính sách đối với giáo viên mầm non; Chính sách ưu tiên đối với học sinh mẫu giáo học sinh dân tộc rất ít người </t>
  </si>
  <si>
    <t>Hỗ trợ chi phí ăn trưa đối với trẻ em mẫu giáo và chính sách đối với giáo viên mầm non</t>
  </si>
  <si>
    <t xml:space="preserve">Chính sách ưu tiên đối với học sinh mẫu giáo học sinh dân tộc rất ít người </t>
  </si>
  <si>
    <t>Hỗ trợ kinh phí đào tạo cán bộ quân sự cấp xã; kinh phí đào tạo cán bộ cơ sở vùng Tây nguyên; kinh phí thực hiện đề án giảm thiểu hôn nhân cận huyết</t>
  </si>
  <si>
    <t>Hỗ trợ kinh phí mua thẻ BHYT cho các đối tượng (cựu chiến binh, thanh niên xung phong, bảo trợ xã hội, học sinh, sinh viên, hộ cận nghèo, hộ nông lâm ngư nghiệp có mức sống trung bình, người hiến bộ phận cơ thể người)</t>
  </si>
  <si>
    <t>Kinh phí mua thẻ BHYT hộ cận nghèo, hộ nông lâm ngư nghiệp có mức sống trung bình, người hiến bộ phận cơ thể (Cấp KP trực tiếp về BHXH tỉnh)</t>
  </si>
  <si>
    <t>Hỗ trợ thực hiện chính sách đối với đối tượng bảo trợ xã hội; hỗ trợ tiền điện hộ nghèo, hộ chính sách xã hội; trợ giá trực tiếp cho người dân tộc thiểu số nghèo ở vùng khó khăn; hỗ trợ chính sách đối với người có uy tín trong đồng bào dân tộc thiểu số; hỗ trợ tổ chức, đơn vị sử dụng lao động là người dân tộc thiểu số;...</t>
  </si>
  <si>
    <t>Hỗ trợ kinh phí thực hiện đề án tăng cường công tác quản lý khai thác gỗ rừng tự nhiên giai đoạn 2014-2020</t>
  </si>
  <si>
    <t>Dự án hoàn thiện, hiện đại hóa hồ sơ, bản đồ địa giới hành chính</t>
  </si>
  <si>
    <t>Kinh phí quản lý, bảo trì đường bộ</t>
  </si>
  <si>
    <t>Đề án phát triển KTXH vùng dân tộc rất ít người; Kinh phí thực hiện Quyết định 2085,2086 của Thủ tướng Chính phủ</t>
  </si>
  <si>
    <t>Chương trình mục tiêu Y tế dân số</t>
  </si>
  <si>
    <t xml:space="preserve">Chương trình mục tiêu Phát triển văn hóa </t>
  </si>
  <si>
    <t>Chương trình mục tiêu Giáo dục vùng núi, vùng dân tộc thiểu số, vùng khó khăn (Tăng cường CSVC, sửa chửa nâng cấp các trường dân tộc bán trú….)</t>
  </si>
  <si>
    <t>Chương trình mục tiêu tái cơ cấu kinh tế nông nghiệp và phòng chống giảm nhẹ thiên tai, ổn định đời sống dân cư</t>
  </si>
  <si>
    <t>Hỗ trợ Liên hiệp Phụ nữ</t>
  </si>
  <si>
    <t>Chính sách trợ giúp pháp lý</t>
  </si>
  <si>
    <t>Kinh phí hỗ trợ an ninh, quốc phòng</t>
  </si>
  <si>
    <t>CHI NỘP NGÂN SÁCH CẤP TRÊN</t>
  </si>
  <si>
    <t>Chi từ nguồn tăng thu; kể cả 50% thực hiện CCTL theo quy định các dự án khai thác quỹ đất so với DT TƯ giao</t>
  </si>
  <si>
    <t>Chi ngân sách cấp tỉnh</t>
  </si>
  <si>
    <t>Sở Nông nghiệp và PTNT</t>
  </si>
  <si>
    <t>Sở Lao động TB &amp;XH</t>
  </si>
  <si>
    <t>Ủy ban mặt trận Tổ quốc Việt Nam tỉnh</t>
  </si>
  <si>
    <t>Tỉnh Đoàn</t>
  </si>
  <si>
    <t>Sở Thông tin và Truyền thông</t>
  </si>
  <si>
    <t>Các CĐT khác</t>
  </si>
  <si>
    <t>Chi ngân sách huyện</t>
  </si>
  <si>
    <t>ĐVT: Triệu đồng</t>
  </si>
  <si>
    <t xml:space="preserve">TỔNG SỐ </t>
  </si>
  <si>
    <t xml:space="preserve">CHI TRẢ NỢ LÃI, GỐC VAY </t>
  </si>
  <si>
    <t>CHI BỔ SUNG QUỸ DỰ TRỮ TÀI CHÍNH, CHI DỰ PHÒNG, CHI BSMT CHO NGÂN SÁCH HUYỆN</t>
  </si>
  <si>
    <t>CHI BỔ SUNG QUỸ DỰ TRỮ TÀI CHÍNH, CHI BỔ SUNG CHO NGÂN SÁCH HUYỆN</t>
  </si>
  <si>
    <t xml:space="preserve">CHI NỘP TRẢ NGÂN SÁCH CẤP TRÊN </t>
  </si>
  <si>
    <t>CÁC CƠ QUAN, TỔ CHỨC</t>
  </si>
  <si>
    <t>I.1</t>
  </si>
  <si>
    <t>CÁC CƠ QUAN, TỔ CHỨC KHỐI TỈNH</t>
  </si>
  <si>
    <t>1</t>
  </si>
  <si>
    <t>Sở NN và PT nông thôn và các đơn vị trực thuộc</t>
  </si>
  <si>
    <t>2</t>
  </si>
  <si>
    <t>Sở GTVT và các đơn vị trực thuộc</t>
  </si>
  <si>
    <t>3</t>
  </si>
  <si>
    <t>Sở Xây dựng và các đơn vị trực thuộc</t>
  </si>
  <si>
    <t>4</t>
  </si>
  <si>
    <t>Sở Tài  nguyên MT và các ĐV trực thuộc</t>
  </si>
  <si>
    <t>5</t>
  </si>
  <si>
    <t>Sở Công Thương và các ĐV trực thuộc</t>
  </si>
  <si>
    <t>6</t>
  </si>
  <si>
    <t>Ngành giáo dục - Đào tạo ngành Giáo dục</t>
  </si>
  <si>
    <t>7</t>
  </si>
  <si>
    <t>Ngành Y tế</t>
  </si>
  <si>
    <t>8</t>
  </si>
  <si>
    <t xml:space="preserve"> Văn hoá Thể thao và Du lịch</t>
  </si>
  <si>
    <t>9</t>
  </si>
  <si>
    <t>Sở LĐ TB-XH và các đơn vị trực thuộc</t>
  </si>
  <si>
    <t>10</t>
  </si>
  <si>
    <t>Sở Tư pháp và các đơn vị trực thuộc</t>
  </si>
  <si>
    <t>11</t>
  </si>
  <si>
    <t>VP Tỉnh Uỷ và các đơn vị trực thuộc Tỉnh Uỷ</t>
  </si>
  <si>
    <t>12</t>
  </si>
  <si>
    <t>Sở Kh. học và CN và các ĐV trực thuộc</t>
  </si>
  <si>
    <t>13</t>
  </si>
  <si>
    <t>Tỉnh đoàn và các đơn vị trực thuộc</t>
  </si>
  <si>
    <t>14</t>
  </si>
  <si>
    <t>Sở Thông tin và truyền thông</t>
  </si>
  <si>
    <t>15</t>
  </si>
  <si>
    <t xml:space="preserve">Ban QL Khu Kinh tế  </t>
  </si>
  <si>
    <t>16</t>
  </si>
  <si>
    <t>Sở Nội vụ</t>
  </si>
  <si>
    <t>17</t>
  </si>
  <si>
    <t>Đài phát thanh - Truyền hình</t>
  </si>
  <si>
    <t>18</t>
  </si>
  <si>
    <t>19</t>
  </si>
  <si>
    <t>Sở Ngọai vụ</t>
  </si>
  <si>
    <t>20</t>
  </si>
  <si>
    <t>Thanh tra nhà nước</t>
  </si>
  <si>
    <t>21</t>
  </si>
  <si>
    <t>VP Đoàn ĐBQH và  HĐND tỉnh</t>
  </si>
  <si>
    <t>22</t>
  </si>
  <si>
    <t>Hỗ trợ hoạt động Đoàn đại biểu quốc hội</t>
  </si>
  <si>
    <t>23</t>
  </si>
  <si>
    <t>Sở Kế hoạch  và Đầu tư</t>
  </si>
  <si>
    <t>24</t>
  </si>
  <si>
    <t>Sở Tài chính</t>
  </si>
  <si>
    <t>25</t>
  </si>
  <si>
    <t>VP Uỷ ban nhân dân tỉnh</t>
  </si>
  <si>
    <t>26</t>
  </si>
  <si>
    <t>Hội Cựu chiến binh</t>
  </si>
  <si>
    <t>27</t>
  </si>
  <si>
    <t>Hội Nông dân</t>
  </si>
  <si>
    <t>28</t>
  </si>
  <si>
    <t>Uỷ ban mặt trận tổ quốc</t>
  </si>
  <si>
    <t>29</t>
  </si>
  <si>
    <t>Hội liên hiệp phụ nữ tỉnh</t>
  </si>
  <si>
    <t>30</t>
  </si>
  <si>
    <t>31</t>
  </si>
  <si>
    <t>Hỗ trợ kinh phí người cao tuổi</t>
  </si>
  <si>
    <t>32</t>
  </si>
  <si>
    <t>Hội nạn nhân ảnh hưởng chất độc da cam dioxin</t>
  </si>
  <si>
    <t>33</t>
  </si>
  <si>
    <t>Hội người tàn tật và trẻ em mồ côi</t>
  </si>
  <si>
    <t>34</t>
  </si>
  <si>
    <t>Hội khuyến học</t>
  </si>
  <si>
    <t>35</t>
  </si>
  <si>
    <t>Ban liên lạc tù chính trị</t>
  </si>
  <si>
    <t>36</t>
  </si>
  <si>
    <t>Hội nhà báo</t>
  </si>
  <si>
    <t>37</t>
  </si>
  <si>
    <t>Hội liên hiệp KH và kỹ thuật và các Hội thành viên</t>
  </si>
  <si>
    <t>38</t>
  </si>
  <si>
    <t>Hội Cựu Thanh niên xung phong</t>
  </si>
  <si>
    <t>39</t>
  </si>
  <si>
    <t>Hội Văn học Nghệ thuật</t>
  </si>
  <si>
    <t>40</t>
  </si>
  <si>
    <t>Hội HN Việt Nam - lào, VN - Campuchia</t>
  </si>
  <si>
    <t>41</t>
  </si>
  <si>
    <t>Hội liên lạc người Việt Nam ở nước ngoài</t>
  </si>
  <si>
    <t>42</t>
  </si>
  <si>
    <t>Hội Luật gia</t>
  </si>
  <si>
    <t>43</t>
  </si>
  <si>
    <t xml:space="preserve">Hội chữ thập đỏ </t>
  </si>
  <si>
    <t>Liên minh các Hợp tác xã</t>
  </si>
  <si>
    <t>Hỗ trợ ĐV TƯ kết nghĩa xã NQ 04</t>
  </si>
  <si>
    <t>Kinh phí trực phục vụ Tết nguyên đán</t>
  </si>
  <si>
    <t>Công đoàn viên chức tỉnh</t>
  </si>
  <si>
    <t>Hội cựu giáo chức</t>
  </si>
  <si>
    <t>Đoàn Luật sư tỉnh</t>
  </si>
  <si>
    <t>Ban quản lý dự án chuyển đổi NN bền vững</t>
  </si>
  <si>
    <t>Ban quản lý khai thác các công trình thủy lợi</t>
  </si>
  <si>
    <t>Ban quản lý các dự án 98</t>
  </si>
  <si>
    <t>Bệnh viện đa khoa tỉnh</t>
  </si>
  <si>
    <t>QBL DAGN khu vực Tây nguyên</t>
  </si>
  <si>
    <t>Ban quản lý dự án bảo vệ và Quản lý tổng hợp các hệ sinh thái rừng</t>
  </si>
  <si>
    <t xml:space="preserve">Ban quản lý Vườn quốc gia Chư Mom Ray </t>
  </si>
  <si>
    <t>Trung tâm kiểm soát bệnh tật tỉnh Kon Tum</t>
  </si>
  <si>
    <t>Trường Chính trị tỉnh Kon Tum</t>
  </si>
  <si>
    <t>Quỹ phát triển đất</t>
  </si>
  <si>
    <t>Chi cục Chăn nuôi và thú y tỉnh</t>
  </si>
  <si>
    <t>Bệnh viện Y dược Cổ truyền - Phục hồi chức năng tỉnh Kon Tum</t>
  </si>
  <si>
    <t>Trung tâm nước sinh hoạt và VS MT nông thôn</t>
  </si>
  <si>
    <t>Ban quản lý dự án đầu tư xây dựng các CT nông nghiệp và PTNT</t>
  </si>
  <si>
    <t>Trung tâm Phát triển Quỹ đất</t>
  </si>
  <si>
    <t xml:space="preserve">Chi cục Kiểm lâm tỉnh </t>
  </si>
  <si>
    <t>Các đơn vị có vốn nhà nước nắm giữ 100% vốn điều lệ, các đơn vị sử dụng lao động là người DTTS, thực hiện đề án tăng cường công tác quản lý khai thác gỗ rừng tự nhiên giai đoạn 2014-2020</t>
  </si>
  <si>
    <t xml:space="preserve">Ngân hàng chính sách xã hội tỉnh </t>
  </si>
  <si>
    <t>Quỹ bảo trì đường bộ</t>
  </si>
  <si>
    <t>Văn phòng Bảo hiểm xã hội tỉnh</t>
  </si>
  <si>
    <t>Báo Kon Tum</t>
  </si>
  <si>
    <t>Công ty TNHH MTV Cao su Chưmomray</t>
  </si>
  <si>
    <t>Công ty TNHH MTV Cao su Kon Tum</t>
  </si>
  <si>
    <t>Công ty Cổ phần Cao su Sa Thầy</t>
  </si>
  <si>
    <t>Ban ATGT tỉnh</t>
  </si>
  <si>
    <t>Các nguồn tập trung ngân sách tỉnh chưa phân bổ đầu năm (phân bổ khi có nhiệm vụ phát sinh)</t>
  </si>
  <si>
    <t>Chi thường xuyên theo hình thức Ghi thu Ghi chi vốn viện trợ và khác</t>
  </si>
  <si>
    <t>I.2</t>
  </si>
  <si>
    <t>CÁC HUYỆN, THÀNH PHỐ (Quyết toán tại ngân sách tỉnh, không bao gồm vốn đầu tư phân cấp NSH)</t>
  </si>
  <si>
    <t>UBND huyện Đăk Hà</t>
  </si>
  <si>
    <t>UBND huyện Đăk Tô</t>
  </si>
  <si>
    <t>UBND huyện Tu Mơ Rông</t>
  </si>
  <si>
    <t>UBND huyện Sa Thầy</t>
  </si>
  <si>
    <t xml:space="preserve">UBND huyện Ngọc Hồi </t>
  </si>
  <si>
    <t>UBND huyện Đăk Glei</t>
  </si>
  <si>
    <t>UBND huyện Ia H'Drai</t>
  </si>
  <si>
    <t>UBND huyện Kon Rẫy</t>
  </si>
  <si>
    <t xml:space="preserve">UBND huyện Kon PLông </t>
  </si>
  <si>
    <t>UBND thành phố Kon Tum</t>
  </si>
  <si>
    <t>Các Chủ đầu tư khác</t>
  </si>
  <si>
    <t>CHI KHÁC NGÂN SÁCH TỈNH</t>
  </si>
  <si>
    <t>Nguồn mua sắm sữa chữa tập trung</t>
  </si>
  <si>
    <t>KP sắp xếp bộ máy theo NQ 18, 19/CP và KP dự phòng cho số HĐLĐ 68</t>
  </si>
  <si>
    <t>Cấp vốn ủy thác, bù lãi suất theo NQ HĐND</t>
  </si>
  <si>
    <t>Lập các Quy hoạch chuyển tiếp</t>
  </si>
  <si>
    <t>Đại hội Đảng các cấp ở ĐP</t>
  </si>
  <si>
    <t>Chi khác ngân sách</t>
  </si>
  <si>
    <t>Nguồn thực hiện CCTL</t>
  </si>
  <si>
    <t>CHI TRẢ NỢ GỐC, LÃI CÁC KHOẢN DO CHÍNH QUYỀN ĐỊA PHƯƠNG VAY</t>
  </si>
  <si>
    <t>CHI BỔ SUNG QUỸ DỰ TRỮ TÀI CHÍNH</t>
  </si>
  <si>
    <t>CHI DỰ PHÒNG NGÂN SÁCH</t>
  </si>
  <si>
    <t xml:space="preserve">CHI BỔ SUNG MỤC TIÊU CHO NGÂN SÁCH HUYỆN </t>
  </si>
  <si>
    <t>VII</t>
  </si>
  <si>
    <t>VIII</t>
  </si>
  <si>
    <t>38=21/4</t>
  </si>
  <si>
    <t>39=22/5</t>
  </si>
  <si>
    <t>40=23/6</t>
  </si>
  <si>
    <t>41=24/7</t>
  </si>
  <si>
    <t>45=25/8</t>
  </si>
  <si>
    <t>46=26/9</t>
  </si>
  <si>
    <t>47=27/10</t>
  </si>
  <si>
    <t>48=28/11</t>
  </si>
  <si>
    <t>49=29/12</t>
  </si>
  <si>
    <t>50=30/13</t>
  </si>
  <si>
    <t>51=31/14</t>
  </si>
  <si>
    <t>52=32/15</t>
  </si>
  <si>
    <t>53=33/16</t>
  </si>
  <si>
    <t>54=34/17</t>
  </si>
  <si>
    <t>CÂN ĐỐI NGÂN SÁCH ĐỊA PHƯƠNG NĂM 2020</t>
  </si>
  <si>
    <t>5=8+15</t>
  </si>
  <si>
    <t>6=11+18</t>
  </si>
  <si>
    <t>7=8+11</t>
  </si>
  <si>
    <t>14=15+18</t>
  </si>
  <si>
    <t>Nội dung (1)</t>
  </si>
  <si>
    <t>Ngân sách cấp tỉnh</t>
  </si>
  <si>
    <t>Ngân sách huyện</t>
  </si>
  <si>
    <t>Trong đó: Chia theo lĩnh vực:</t>
  </si>
  <si>
    <t xml:space="preserve">Dự toán năm 2020 </t>
  </si>
  <si>
    <t>Chi nguồn giao tăng thu so dự toán Trung ương giao (Chi từ nguồn tăng thu các dự án khai thác quỹ đất)</t>
  </si>
  <si>
    <t>CHI TỪ NGUỒN BỘI CHI NSĐP</t>
  </si>
  <si>
    <t>23=6/3</t>
  </si>
  <si>
    <t>9=10+..+14</t>
  </si>
  <si>
    <t>19=9/1</t>
  </si>
  <si>
    <t>20=10/2</t>
  </si>
  <si>
    <t>21=11/3</t>
  </si>
  <si>
    <t>22=14/6</t>
  </si>
  <si>
    <t xml:space="preserve">Chi bổ sung quỹ dự trữ tài chính </t>
  </si>
  <si>
    <t xml:space="preserve">Thu hồi vốn, thu cổ tức </t>
  </si>
  <si>
    <t>Thu từ khu vực DNNN do trung ương quản lý</t>
  </si>
  <si>
    <t xml:space="preserve">Thu từ khu vực DNNN do địa phương quản lý </t>
  </si>
  <si>
    <t xml:space="preserve">Thu từ khu vực kinh tế ngoài quốc doanh </t>
  </si>
  <si>
    <t xml:space="preserve">Lợi nhuận được chia của Nhà nước và lợi nhuận sau thuế còn lại sau khi trích lập các quỹ của doanh nghiệp nhà nước </t>
  </si>
  <si>
    <t xml:space="preserve">Chênh lệch thu chi Ngân hàng Nhà nước </t>
  </si>
  <si>
    <t xml:space="preserve">Các đơn vị khác   </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</si>
  <si>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</si>
  <si>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</si>
  <si>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</si>
  <si>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</si>
  <si>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</si>
  <si>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</si>
  <si>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</si>
  <si>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</si>
  <si>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</si>
  <si>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</si>
  <si>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</si>
  <si>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</si>
  <si>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</si>
  <si>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</si>
  <si>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</si>
  <si>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</si>
  <si>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</si>
  <si>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</si>
  <si>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</si>
  <si>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</si>
  <si>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</si>
  <si>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</si>
  <si>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</si>
  <si>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</si>
  <si>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</si>
  <si>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</si>
  <si>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</si>
  <si>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</si>
  <si>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</si>
  <si>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</si>
  <si>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</si>
  <si>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</si>
  <si>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</si>
  <si>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(Kèm theo Quyết định số 1265 /QĐ-UBND ngày 30/12/2021 của Uỷ ban nhân dân tỉnh Kon Tum)</t>
  </si>
  <si>
    <t>(Kèm theo Quyết định số 1265  /QĐ-UBND ngày 30/12/2021 của Uỷ ban nhân dân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</si>
</sst>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_(* #,##0.00_);_(* \(#,##0.00\);_(* &quot;-&quot;??_);_(@_)"/>
    <numFmt numFmtId="165" formatCode="_(* #,##0.0_);_(* \(#,##0.0\);_(* &quot;-&quot;??_);_(@_)"/>
    <numFmt numFmtId="166" formatCode="_(* #,##0_);_(* \(#,##0\);_(* &quot;-&quot;??_);_(@_)"/>
    <numFmt numFmtId="167" formatCode="_(* #,##0.00_);_(* \(#,##0.00\);_(* \-??_);_(@_)"/>
    <numFmt numFmtId="168" formatCode="0.0%"/>
    <numFmt numFmtId="169" formatCode="_-* #,##0\ _₫_-;\-* #,##0\ _₫_-;_-* &quot;-&quot;??\ _₫_-;_-@_-"/>
    <numFmt numFmtId="170" formatCode="_-* #,##0_-;\-* #,##0_-;_-* &quot;-&quot;??_-;_-@_-"/>
  </numFmts>
  <fonts count="42" x14ac:knownFonts="1">
    <font>
      <sz val="11"/>
      <color theme="1"/>
      <name val="Calibri"/>
      <family val="2"/>
      <scheme val="minor"/>
    </font>
    <font>
      <sz val="11"/>
      <color theme="1"/>
      <name val="Calibri"/>
      <family val="2"/>
      <charset val="163"/>
      <scheme val="minor"/>
    </font>
    <font>
      <sz val="11"/>
      <color theme="1"/>
      <name val="Calibri"/>
      <family val="2"/>
      <charset val="163"/>
      <scheme val="minor"/>
    </font>
    <font>
      <sz val="12"/>
      <color theme="1"/>
      <name val="Times New Roman"/>
      <family val="2"/>
    </font>
    <font>
      <sz val="11"/>
      <color theme="1"/>
      <name val="Calibri"/>
      <family val="2"/>
      <scheme val="minor"/>
    </font>
    <font>
      <sz val="10"/>
      <name val="Arial"/>
      <family val="2"/>
    </font>
    <font>
      <b/>
      <sz val="12"/>
      <color rgb="FF000000"/>
      <name val="Times New Roman"/>
      <family val="1"/>
    </font>
    <font>
      <i/>
      <sz val="12"/>
      <color rgb="FF000000"/>
      <name val="Times New Roman"/>
      <family val="1"/>
    </font>
    <font>
      <sz val="12"/>
      <color rgb="FF000000"/>
      <name val="Times New Roman"/>
      <family val="1"/>
    </font>
    <font>
      <b/>
      <sz val="12"/>
      <color rgb="FFFF0000"/>
      <name val="Times New Roman"/>
      <family val="1"/>
    </font>
    <font>
      <sz val="10"/>
      <color rgb="FF000000"/>
      <name val="Times New Roman"/>
      <family val="1"/>
    </font>
    <font>
      <sz val="11"/>
      <name val="Times New Roman"/>
      <family val="1"/>
    </font>
    <font>
      <b/>
      <sz val="11"/>
      <name val="Times New Roman"/>
      <family val="1"/>
    </font>
    <font>
      <b/>
      <sz val="12"/>
      <name val="Times New Roman"/>
      <family val="1"/>
    </font>
    <font>
      <i/>
      <sz val="11"/>
      <name val="Times New Roman"/>
      <family val="1"/>
    </font>
    <font>
      <sz val="12"/>
      <name val="Times New Roman"/>
      <family val="1"/>
    </font>
    <font>
      <sz val="10"/>
      <name val="Times New Roman"/>
      <family val="1"/>
    </font>
    <font>
      <b/>
      <sz val="13"/>
      <name val="Times New Roman"/>
      <family val="1"/>
    </font>
    <font>
      <i/>
      <sz val="12"/>
      <name val="Times New Roman"/>
      <family val="1"/>
    </font>
    <font>
      <b/>
      <sz val="13"/>
      <color rgb="FF000000"/>
      <name val="Times New Roman"/>
      <family val="1"/>
    </font>
    <font>
      <sz val="11"/>
      <color indexed="8"/>
      <name val="Calibri"/>
      <family val="2"/>
    </font>
    <font>
      <b/>
      <sz val="10"/>
      <name val="Times New Roman"/>
      <family val="1"/>
    </font>
    <font>
      <sz val="12"/>
      <color theme="1"/>
      <name val="Times New Roman"/>
      <family val="1"/>
    </font>
    <font>
      <b/>
      <sz val="12"/>
      <color theme="1"/>
      <name val="Times New Roman"/>
      <family val="1"/>
    </font>
    <font>
      <sz val="11"/>
      <color theme="1"/>
      <name val="Times New Roman"/>
      <family val="1"/>
    </font>
    <font>
      <sz val="10"/>
      <color theme="1"/>
      <name val="Times New Roman"/>
      <family val="1"/>
    </font>
    <font>
      <b/>
      <sz val="11"/>
      <color theme="1"/>
      <name val="Times New Roman"/>
      <family val="1"/>
    </font>
    <font>
      <sz val="9"/>
      <name val="Times New Roman"/>
      <family val="1"/>
    </font>
    <font>
      <b/>
      <sz val="9"/>
      <name val="Times New Roman"/>
      <family val="1"/>
    </font>
    <font>
      <sz val="8"/>
      <name val="Times New Roman"/>
      <family val="1"/>
    </font>
    <font>
      <b/>
      <sz val="10"/>
      <color rgb="FF000000"/>
      <name val="Times New Roman"/>
      <family val="1"/>
    </font>
    <font>
      <i/>
      <sz val="10"/>
      <color rgb="FF000000"/>
      <name val="Times New Roman"/>
      <family val="1"/>
    </font>
    <font>
      <b/>
      <sz val="10"/>
      <color theme="1"/>
      <name val="Times New Roman"/>
      <family val="1"/>
    </font>
    <font>
      <i/>
      <sz val="12"/>
      <color theme="1"/>
      <name val="Times New Roman"/>
      <family val="1"/>
    </font>
    <font>
      <sz val="12"/>
      <color rgb="FFFF0000"/>
      <name val="Times New Roman"/>
      <family val="1"/>
    </font>
    <font>
      <b/>
      <sz val="11"/>
      <color rgb="FFFF0000"/>
      <name val="Times New Roman"/>
      <family val="1"/>
    </font>
    <font>
      <i/>
      <sz val="13"/>
      <name val="Times New Roman"/>
      <family val="1"/>
    </font>
    <font>
      <b/>
      <sz val="10"/>
      <name val="Times New Roman"/>
      <family val="1"/>
      <charset val="163"/>
    </font>
    <font>
      <i/>
      <sz val="10"/>
      <name val="Times New Roman"/>
      <family val="1"/>
    </font>
    <font>
      <b/>
      <i/>
      <sz val="12"/>
      <name val="Times New Roman"/>
      <family val="1"/>
    </font>
    <font>
      <sz val="11"/>
      <name val="Calibri"/>
      <family val="2"/>
      <scheme val="minor"/>
    </font>
    <font>
      <sz val="11"/>
      <color rgb="FFFF0000"/>
      <name val="Times New Roman"/>
      <family val="1"/>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diagonal/>
    </border>
    <border>
      <left style="thin">
        <color rgb="FF000000"/>
      </left>
      <right style="thin">
        <color rgb="FF000000"/>
      </right>
      <top/>
      <bottom style="hair">
        <color rgb="FF000000"/>
      </bottom>
      <diagonal/>
    </border>
    <border>
      <left style="thin">
        <color indexed="64"/>
      </left>
      <right style="thin">
        <color indexed="64"/>
      </right>
      <top/>
      <bottom style="hair">
        <color indexed="64"/>
      </bottom>
      <diagonal/>
    </border>
    <border>
      <left style="thin">
        <color rgb="FF000000"/>
      </left>
      <right style="thin">
        <color rgb="FF000000"/>
      </right>
      <top style="hair">
        <color rgb="FF000000"/>
      </top>
      <bottom/>
      <diagonal/>
    </border>
    <border>
      <left style="thin">
        <color indexed="64"/>
      </left>
      <right style="thin">
        <color rgb="FF000000"/>
      </right>
      <top style="hair">
        <color rgb="FF000000"/>
      </top>
      <bottom style="thin">
        <color indexed="64"/>
      </bottom>
      <diagonal/>
    </border>
    <border>
      <left style="thin">
        <color rgb="FF000000"/>
      </left>
      <right style="thin">
        <color rgb="FF000000"/>
      </right>
      <top style="hair">
        <color rgb="FF000000"/>
      </top>
      <bottom style="thin">
        <color indexed="64"/>
      </bottom>
      <diagonal/>
    </border>
    <border>
      <left style="thin">
        <color indexed="64"/>
      </left>
      <right/>
      <top/>
      <bottom/>
      <diagonal/>
    </border>
  </borders>
  <cellStyleXfs count="18">
    <xf numFmtId="0" fontId="0" fillId="0" borderId="0"/>
    <xf numFmtId="164" fontId="4"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20" fillId="0" borderId="0"/>
    <xf numFmtId="164" fontId="5" fillId="0" borderId="0" applyFont="0" applyFill="0" applyBorder="0" applyAlignment="0" applyProtection="0"/>
    <xf numFmtId="0" fontId="5" fillId="0" borderId="0"/>
    <xf numFmtId="0" fontId="3" fillId="0" borderId="0"/>
    <xf numFmtId="164" fontId="5" fillId="0" borderId="0" applyFont="0" applyFill="0" applyBorder="0" applyAlignment="0" applyProtection="0"/>
    <xf numFmtId="167" fontId="5" fillId="0" borderId="0" applyFill="0" applyBorder="0" applyAlignment="0" applyProtection="0"/>
    <xf numFmtId="167" fontId="5" fillId="0" borderId="0" applyFill="0" applyBorder="0" applyAlignment="0" applyProtection="0"/>
    <xf numFmtId="0" fontId="5" fillId="0" borderId="0"/>
    <xf numFmtId="9" fontId="4"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164" fontId="5" fillId="0" borderId="0" applyFont="0" applyFill="0" applyBorder="0" applyAlignment="0" applyProtection="0"/>
    <xf numFmtId="9" fontId="1" fillId="0" borderId="0" applyFont="0" applyFill="0" applyBorder="0" applyAlignment="0" applyProtection="0"/>
  </cellStyleXfs>
  <cellXfs count="318">
    <xf numFmtId="0" fontId="0" fillId="0" borderId="0" xfId="0"/>
    <xf numFmtId="0" fontId="7" fillId="0" borderId="0" xfId="0" applyFont="1" applyAlignment="1">
      <alignment horizontal="right" vertical="center"/>
    </xf>
    <xf numFmtId="0" fontId="1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22" fillId="0" borderId="0" xfId="0" applyFont="1"/>
    <xf numFmtId="0" fontId="9" fillId="0" borderId="0" xfId="0" applyFont="1" applyAlignment="1">
      <alignment horizontal="left"/>
    </xf>
    <xf numFmtId="166" fontId="22" fillId="0" borderId="0" xfId="0" applyNumberFormat="1" applyFont="1"/>
    <xf numFmtId="0" fontId="13" fillId="0" borderId="4" xfId="0" applyFont="1" applyBorder="1" applyAlignment="1">
      <alignment horizontal="center" vertical="center" wrapText="1"/>
    </xf>
    <xf numFmtId="165" fontId="13" fillId="0" borderId="5" xfId="1" applyNumberFormat="1" applyFont="1" applyBorder="1" applyAlignment="1">
      <alignment horizontal="center" vertical="center" wrapText="1"/>
    </xf>
    <xf numFmtId="0" fontId="23" fillId="0" borderId="0" xfId="0" applyFont="1"/>
    <xf numFmtId="166" fontId="15" fillId="0" borderId="5" xfId="1" applyNumberFormat="1" applyFont="1" applyBorder="1" applyAlignment="1">
      <alignment vertical="center" wrapText="1"/>
    </xf>
    <xf numFmtId="165" fontId="15" fillId="0" borderId="5" xfId="1" applyNumberFormat="1" applyFont="1" applyBorder="1" applyAlignment="1">
      <alignment horizontal="center" vertical="center" wrapText="1"/>
    </xf>
    <xf numFmtId="166" fontId="22" fillId="0" borderId="0" xfId="1" applyNumberFormat="1" applyFont="1"/>
    <xf numFmtId="166" fontId="15" fillId="0" borderId="0" xfId="0" applyNumberFormat="1" applyFont="1"/>
    <xf numFmtId="165" fontId="15" fillId="0" borderId="0" xfId="1" applyNumberFormat="1" applyFont="1"/>
    <xf numFmtId="165" fontId="13" fillId="0" borderId="0" xfId="1" applyNumberFormat="1" applyFont="1" applyAlignment="1">
      <alignment horizontal="left" vertical="center"/>
    </xf>
    <xf numFmtId="0" fontId="15" fillId="0" borderId="0" xfId="0" applyFont="1"/>
    <xf numFmtId="166" fontId="15" fillId="0" borderId="0" xfId="1" applyNumberFormat="1" applyFont="1"/>
    <xf numFmtId="0" fontId="18" fillId="0" borderId="0" xfId="0" applyFont="1" applyAlignment="1">
      <alignment horizontal="left" vertical="center"/>
    </xf>
    <xf numFmtId="166" fontId="13" fillId="0" borderId="4" xfId="1" applyNumberFormat="1" applyFont="1" applyBorder="1" applyAlignment="1">
      <alignment horizontal="center" vertical="center" wrapText="1"/>
    </xf>
    <xf numFmtId="166" fontId="15" fillId="0" borderId="5" xfId="1" applyNumberFormat="1" applyFont="1" applyBorder="1" applyAlignment="1">
      <alignment horizontal="center" vertical="center" wrapText="1"/>
    </xf>
    <xf numFmtId="166" fontId="15" fillId="0" borderId="5" xfId="1" applyNumberFormat="1" applyFont="1" applyFill="1" applyBorder="1" applyAlignment="1">
      <alignment horizontal="center" vertical="center" wrapText="1"/>
    </xf>
    <xf numFmtId="166" fontId="15" fillId="2" borderId="5" xfId="1" applyNumberFormat="1" applyFont="1" applyFill="1" applyBorder="1" applyAlignment="1">
      <alignment horizontal="center" vertical="center" wrapText="1"/>
    </xf>
    <xf numFmtId="0" fontId="13" fillId="0" borderId="0" xfId="0" applyFont="1" applyAlignment="1">
      <alignment horizontal="left" vertical="center"/>
    </xf>
    <xf numFmtId="0" fontId="15" fillId="0" borderId="0" xfId="0" applyFont="1" applyAlignment="1">
      <alignment vertical="center"/>
    </xf>
    <xf numFmtId="0" fontId="24" fillId="0" borderId="0" xfId="0" applyFont="1"/>
    <xf numFmtId="166" fontId="24" fillId="0" borderId="0" xfId="0" applyNumberFormat="1" applyFont="1"/>
    <xf numFmtId="0" fontId="21"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vertical="center" wrapText="1"/>
    </xf>
    <xf numFmtId="166" fontId="15" fillId="0" borderId="6" xfId="1" applyNumberFormat="1" applyFont="1" applyBorder="1" applyAlignment="1">
      <alignment horizontal="center" vertical="center" wrapText="1"/>
    </xf>
    <xf numFmtId="0" fontId="9" fillId="0" borderId="0" xfId="0" applyFont="1"/>
    <xf numFmtId="0" fontId="25" fillId="0" borderId="0" xfId="0" applyFont="1"/>
    <xf numFmtId="0" fontId="12" fillId="0" borderId="2" xfId="0" applyFont="1" applyBorder="1" applyAlignment="1">
      <alignment horizontal="center" vertical="center" wrapText="1"/>
    </xf>
    <xf numFmtId="0" fontId="26" fillId="0" borderId="0" xfId="0" applyFont="1"/>
    <xf numFmtId="0" fontId="13" fillId="0" borderId="0" xfId="0" applyFont="1" applyFill="1" applyAlignment="1">
      <alignment horizontal="left"/>
    </xf>
    <xf numFmtId="0" fontId="15" fillId="0" borderId="0" xfId="0" applyFont="1" applyAlignment="1">
      <alignment horizontal="left"/>
    </xf>
    <xf numFmtId="0" fontId="13" fillId="0" borderId="5" xfId="0" applyFont="1" applyFill="1" applyBorder="1" applyAlignment="1">
      <alignment vertical="center" wrapText="1"/>
    </xf>
    <xf numFmtId="0" fontId="13" fillId="0" borderId="0" xfId="0" applyFont="1" applyAlignment="1">
      <alignment horizontal="left"/>
    </xf>
    <xf numFmtId="166" fontId="13" fillId="2" borderId="4" xfId="1" applyNumberFormat="1" applyFont="1" applyFill="1" applyBorder="1" applyAlignment="1">
      <alignment horizontal="center" vertical="center" wrapText="1"/>
    </xf>
    <xf numFmtId="165" fontId="15" fillId="2" borderId="5" xfId="1" applyNumberFormat="1" applyFont="1" applyFill="1" applyBorder="1" applyAlignment="1">
      <alignment horizontal="center" vertical="center" wrapText="1"/>
    </xf>
    <xf numFmtId="166" fontId="15" fillId="2" borderId="6" xfId="1" applyNumberFormat="1" applyFont="1" applyFill="1" applyBorder="1" applyAlignment="1">
      <alignment horizontal="center" vertical="center" wrapText="1"/>
    </xf>
    <xf numFmtId="164" fontId="24" fillId="0" borderId="0" xfId="1" applyFont="1"/>
    <xf numFmtId="0" fontId="15" fillId="0" borderId="0" xfId="0" applyFont="1" applyFill="1"/>
    <xf numFmtId="166" fontId="13" fillId="0" borderId="0" xfId="1" applyNumberFormat="1" applyFont="1" applyFill="1"/>
    <xf numFmtId="0" fontId="13" fillId="0" borderId="0" xfId="0" applyFont="1" applyFill="1"/>
    <xf numFmtId="166" fontId="15" fillId="0" borderId="0" xfId="1" applyNumberFormat="1" applyFont="1" applyFill="1"/>
    <xf numFmtId="166" fontId="15" fillId="0" borderId="0" xfId="0" applyNumberFormat="1" applyFont="1" applyFill="1"/>
    <xf numFmtId="166" fontId="13" fillId="0" borderId="0" xfId="0" applyNumberFormat="1" applyFont="1" applyFill="1"/>
    <xf numFmtId="0" fontId="13"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pplyAlignment="1">
      <alignment horizontal="left"/>
    </xf>
    <xf numFmtId="0" fontId="13"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166" fontId="13" fillId="0" borderId="4" xfId="1" applyNumberFormat="1" applyFont="1" applyFill="1" applyBorder="1" applyAlignment="1">
      <alignment horizontal="center" vertical="center" wrapText="1"/>
    </xf>
    <xf numFmtId="165" fontId="13" fillId="0" borderId="4" xfId="1"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166" fontId="13" fillId="0" borderId="5" xfId="1" applyNumberFormat="1" applyFont="1" applyFill="1" applyBorder="1" applyAlignment="1">
      <alignment horizontal="center" vertical="center" wrapText="1"/>
    </xf>
    <xf numFmtId="165" fontId="13" fillId="0" borderId="5" xfId="1" applyNumberFormat="1" applyFont="1" applyFill="1" applyBorder="1" applyAlignment="1">
      <alignment horizontal="center" vertical="center" wrapText="1"/>
    </xf>
    <xf numFmtId="165" fontId="15" fillId="0" borderId="5" xfId="1" applyNumberFormat="1" applyFont="1" applyFill="1" applyBorder="1" applyAlignment="1">
      <alignment horizontal="center" vertical="center" wrapText="1"/>
    </xf>
    <xf numFmtId="0" fontId="15" fillId="0" borderId="5" xfId="0" applyFont="1" applyFill="1" applyBorder="1" applyAlignment="1">
      <alignment vertical="center" wrapText="1"/>
    </xf>
    <xf numFmtId="0" fontId="15" fillId="0" borderId="5" xfId="0" applyFont="1" applyFill="1" applyBorder="1" applyAlignment="1">
      <alignment horizontal="center" vertical="center" wrapText="1"/>
    </xf>
    <xf numFmtId="0" fontId="18" fillId="0" borderId="5" xfId="0" applyFont="1" applyFill="1" applyBorder="1" applyAlignment="1">
      <alignment vertical="center" wrapText="1"/>
    </xf>
    <xf numFmtId="170" fontId="15" fillId="0" borderId="5" xfId="1" applyNumberFormat="1" applyFont="1" applyFill="1" applyBorder="1" applyAlignment="1">
      <alignment horizontal="center" vertical="center" wrapText="1"/>
    </xf>
    <xf numFmtId="166" fontId="15" fillId="0" borderId="5" xfId="1" applyNumberFormat="1" applyFont="1" applyFill="1" applyBorder="1" applyAlignment="1">
      <alignment vertical="center" wrapText="1"/>
    </xf>
    <xf numFmtId="166" fontId="13" fillId="0" borderId="5" xfId="1" applyNumberFormat="1" applyFont="1" applyFill="1" applyBorder="1" applyAlignment="1">
      <alignment vertical="center" wrapText="1"/>
    </xf>
    <xf numFmtId="0" fontId="15" fillId="0" borderId="5" xfId="0" quotePrefix="1" applyFont="1" applyFill="1" applyBorder="1" applyAlignment="1">
      <alignment horizontal="center" vertical="center" wrapText="1"/>
    </xf>
    <xf numFmtId="14" fontId="25" fillId="0" borderId="1" xfId="0" quotePrefix="1" applyNumberFormat="1" applyFont="1" applyBorder="1" applyAlignment="1">
      <alignment horizontal="center" vertical="center" wrapText="1"/>
    </xf>
    <xf numFmtId="0" fontId="25" fillId="0" borderId="1" xfId="0" quotePrefix="1" applyFont="1" applyBorder="1" applyAlignment="1">
      <alignment horizontal="center" vertical="center" wrapText="1"/>
    </xf>
    <xf numFmtId="0" fontId="30" fillId="0" borderId="0" xfId="0" applyFont="1" applyAlignment="1">
      <alignment horizontal="left" vertical="center"/>
    </xf>
    <xf numFmtId="0" fontId="15" fillId="0" borderId="9" xfId="0" applyFont="1" applyFill="1" applyBorder="1" applyAlignment="1">
      <alignment vertical="center" wrapText="1"/>
    </xf>
    <xf numFmtId="3" fontId="15" fillId="0" borderId="9" xfId="0" applyNumberFormat="1" applyFont="1" applyFill="1" applyBorder="1" applyAlignment="1">
      <alignment vertical="center" wrapText="1"/>
    </xf>
    <xf numFmtId="3" fontId="12" fillId="0" borderId="9" xfId="0" applyNumberFormat="1" applyFont="1" applyFill="1" applyBorder="1" applyAlignment="1">
      <alignment vertical="center" wrapText="1"/>
    </xf>
    <xf numFmtId="3" fontId="11" fillId="0" borderId="9" xfId="0" applyNumberFormat="1" applyFont="1" applyFill="1" applyBorder="1" applyAlignment="1">
      <alignment vertical="center" wrapText="1"/>
    </xf>
    <xf numFmtId="0" fontId="11" fillId="0" borderId="9" xfId="0" applyFont="1" applyFill="1" applyBorder="1" applyAlignment="1">
      <alignment vertical="center" wrapText="1"/>
    </xf>
    <xf numFmtId="0" fontId="12" fillId="0" borderId="8" xfId="0" applyFont="1" applyFill="1" applyBorder="1" applyAlignment="1">
      <alignment horizontal="center" vertical="center" wrapText="1"/>
    </xf>
    <xf numFmtId="3" fontId="12" fillId="0" borderId="8" xfId="0" applyNumberFormat="1" applyFont="1" applyFill="1" applyBorder="1" applyAlignment="1">
      <alignment horizontal="right" vertical="center" wrapText="1"/>
    </xf>
    <xf numFmtId="165" fontId="12" fillId="0" borderId="8" xfId="1"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vertical="center" wrapText="1"/>
    </xf>
    <xf numFmtId="165" fontId="12" fillId="0" borderId="9" xfId="1" applyNumberFormat="1" applyFont="1" applyFill="1" applyBorder="1" applyAlignment="1">
      <alignment horizontal="center" vertical="center" wrapText="1"/>
    </xf>
    <xf numFmtId="3" fontId="12" fillId="0" borderId="9" xfId="0" applyNumberFormat="1" applyFont="1" applyFill="1" applyBorder="1" applyAlignment="1">
      <alignment horizontal="right" vertical="center" wrapText="1"/>
    </xf>
    <xf numFmtId="166" fontId="12" fillId="0" borderId="9" xfId="1" applyNumberFormat="1" applyFont="1" applyFill="1" applyBorder="1" applyAlignment="1">
      <alignment vertical="center" wrapText="1"/>
    </xf>
    <xf numFmtId="0" fontId="11" fillId="0" borderId="9" xfId="0" applyFont="1" applyFill="1" applyBorder="1" applyAlignment="1">
      <alignment horizontal="center" vertical="center" wrapText="1"/>
    </xf>
    <xf numFmtId="166" fontId="11" fillId="0" borderId="9" xfId="0" applyNumberFormat="1" applyFont="1" applyFill="1" applyBorder="1" applyAlignment="1">
      <alignment horizontal="center" vertical="center"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horizontal="center" vertical="center" wrapText="1"/>
    </xf>
    <xf numFmtId="0" fontId="14" fillId="0" borderId="9" xfId="0" applyFont="1" applyFill="1" applyBorder="1" applyAlignment="1">
      <alignment vertical="center" wrapText="1"/>
    </xf>
    <xf numFmtId="3" fontId="11" fillId="0" borderId="9" xfId="0" applyNumberFormat="1" applyFont="1" applyFill="1" applyBorder="1" applyAlignment="1">
      <alignment horizontal="right" vertical="center" wrapText="1"/>
    </xf>
    <xf numFmtId="166" fontId="12" fillId="0" borderId="9" xfId="0" applyNumberFormat="1" applyFont="1" applyFill="1" applyBorder="1" applyAlignment="1">
      <alignment horizontal="center" vertical="center" wrapText="1"/>
    </xf>
    <xf numFmtId="166" fontId="12" fillId="0" borderId="9" xfId="1" applyNumberFormat="1" applyFont="1" applyFill="1" applyBorder="1" applyAlignment="1">
      <alignment horizontal="center" vertical="center" wrapText="1"/>
    </xf>
    <xf numFmtId="0" fontId="11" fillId="0" borderId="9" xfId="0" quotePrefix="1" applyFont="1" applyFill="1" applyBorder="1" applyAlignment="1">
      <alignment horizontal="center" vertical="center" wrapText="1"/>
    </xf>
    <xf numFmtId="0" fontId="11" fillId="0" borderId="9"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3" fontId="12" fillId="0" borderId="10" xfId="0" applyNumberFormat="1" applyFont="1" applyFill="1" applyBorder="1" applyAlignment="1">
      <alignment horizontal="right" vertical="center" wrapText="1"/>
    </xf>
    <xf numFmtId="165" fontId="12" fillId="0" borderId="10"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vertical="center" wrapText="1"/>
    </xf>
    <xf numFmtId="166" fontId="13" fillId="0" borderId="16" xfId="1" applyNumberFormat="1" applyFont="1" applyBorder="1" applyAlignment="1">
      <alignment vertical="center" wrapText="1"/>
    </xf>
    <xf numFmtId="165" fontId="13" fillId="0" borderId="16" xfId="1" applyNumberFormat="1" applyFont="1" applyBorder="1" applyAlignment="1">
      <alignment horizontal="center" vertical="center" wrapText="1"/>
    </xf>
    <xf numFmtId="0" fontId="13" fillId="0" borderId="0" xfId="0" applyFont="1"/>
    <xf numFmtId="166" fontId="13" fillId="0" borderId="0" xfId="0" applyNumberFormat="1" applyFont="1"/>
    <xf numFmtId="0" fontId="15" fillId="0" borderId="5" xfId="0" applyFont="1" applyBorder="1" applyAlignment="1">
      <alignment horizontal="center" vertical="center" wrapText="1"/>
    </xf>
    <xf numFmtId="0" fontId="15" fillId="0" borderId="5" xfId="0" applyFont="1" applyBorder="1" applyAlignment="1">
      <alignment vertical="center" wrapText="1"/>
    </xf>
    <xf numFmtId="166" fontId="15" fillId="2" borderId="5" xfId="1" applyNumberFormat="1" applyFont="1" applyFill="1" applyBorder="1" applyAlignment="1">
      <alignment vertical="center" wrapText="1"/>
    </xf>
    <xf numFmtId="165" fontId="15" fillId="0" borderId="0" xfId="1" applyNumberFormat="1" applyFont="1" applyFill="1"/>
    <xf numFmtId="0" fontId="13" fillId="0" borderId="5" xfId="0" applyFont="1" applyBorder="1" applyAlignment="1">
      <alignment horizontal="center" vertical="center" wrapText="1"/>
    </xf>
    <xf numFmtId="0" fontId="13" fillId="0" borderId="5" xfId="0" applyFont="1" applyBorder="1" applyAlignment="1">
      <alignment vertical="center" wrapText="1"/>
    </xf>
    <xf numFmtId="166" fontId="13" fillId="0" borderId="5" xfId="1" applyNumberFormat="1" applyFont="1" applyBorder="1" applyAlignment="1">
      <alignment vertical="center" wrapText="1"/>
    </xf>
    <xf numFmtId="166" fontId="13" fillId="2" borderId="5" xfId="1" applyNumberFormat="1" applyFont="1" applyFill="1" applyBorder="1" applyAlignment="1">
      <alignment vertical="center" wrapText="1"/>
    </xf>
    <xf numFmtId="0" fontId="13" fillId="0" borderId="6" xfId="0" applyFont="1" applyBorder="1" applyAlignment="1">
      <alignment horizontal="center" vertical="center" wrapText="1"/>
    </xf>
    <xf numFmtId="0" fontId="13" fillId="0" borderId="6" xfId="0" applyFont="1" applyBorder="1" applyAlignment="1">
      <alignment vertical="center" wrapText="1"/>
    </xf>
    <xf numFmtId="166" fontId="13" fillId="0" borderId="10" xfId="1" applyNumberFormat="1" applyFont="1" applyFill="1" applyBorder="1" applyAlignment="1">
      <alignment vertical="center" wrapText="1"/>
    </xf>
    <xf numFmtId="165" fontId="13" fillId="0" borderId="19" xfId="1" applyNumberFormat="1" applyFont="1" applyBorder="1" applyAlignment="1">
      <alignment horizontal="center" vertical="center" wrapText="1"/>
    </xf>
    <xf numFmtId="0" fontId="13" fillId="0" borderId="0" xfId="0" applyFont="1" applyAlignment="1">
      <alignment vertical="center"/>
    </xf>
    <xf numFmtId="0" fontId="22" fillId="0" borderId="0" xfId="0" applyFont="1" applyAlignment="1">
      <alignment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3" fontId="6" fillId="0" borderId="9" xfId="0" applyNumberFormat="1" applyFont="1" applyBorder="1" applyAlignment="1">
      <alignment horizontal="right" vertical="center" wrapText="1"/>
    </xf>
    <xf numFmtId="168" fontId="6" fillId="0" borderId="9" xfId="13" applyNumberFormat="1" applyFont="1" applyBorder="1" applyAlignment="1">
      <alignment horizontal="center" vertical="center" wrapText="1"/>
    </xf>
    <xf numFmtId="3" fontId="22" fillId="0" borderId="0" xfId="0" applyNumberFormat="1" applyFont="1" applyAlignment="1">
      <alignment vertical="center"/>
    </xf>
    <xf numFmtId="3" fontId="23" fillId="0" borderId="0" xfId="0" applyNumberFormat="1" applyFont="1" applyAlignment="1">
      <alignment vertical="center"/>
    </xf>
    <xf numFmtId="0" fontId="23" fillId="0" borderId="0" xfId="0" applyFont="1" applyAlignment="1">
      <alignment vertical="center"/>
    </xf>
    <xf numFmtId="0" fontId="8" fillId="0" borderId="9" xfId="0" applyFont="1" applyBorder="1" applyAlignment="1">
      <alignment horizontal="center" vertical="center" wrapText="1"/>
    </xf>
    <xf numFmtId="0" fontId="8" fillId="0" borderId="9" xfId="0" applyFont="1" applyBorder="1" applyAlignment="1">
      <alignment vertical="center" wrapText="1"/>
    </xf>
    <xf numFmtId="3" fontId="8" fillId="0" borderId="9" xfId="0" applyNumberFormat="1" applyFont="1" applyBorder="1" applyAlignment="1">
      <alignment horizontal="right" vertical="center" wrapText="1"/>
    </xf>
    <xf numFmtId="168" fontId="8" fillId="0" borderId="9" xfId="13" applyNumberFormat="1" applyFont="1" applyBorder="1" applyAlignment="1">
      <alignment horizontal="center" vertical="center" wrapText="1"/>
    </xf>
    <xf numFmtId="0" fontId="8" fillId="0" borderId="9" xfId="0" quotePrefix="1"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3" fontId="7" fillId="0" borderId="9" xfId="0" applyNumberFormat="1" applyFont="1" applyBorder="1" applyAlignment="1">
      <alignment horizontal="right" vertical="center" wrapText="1"/>
    </xf>
    <xf numFmtId="168" fontId="7" fillId="0" borderId="9" xfId="13" applyNumberFormat="1" applyFont="1" applyBorder="1" applyAlignment="1">
      <alignment horizontal="center" vertical="center" wrapText="1"/>
    </xf>
    <xf numFmtId="0" fontId="33" fillId="0" borderId="0" xfId="0" applyFont="1" applyAlignment="1">
      <alignment vertical="center"/>
    </xf>
    <xf numFmtId="3" fontId="6" fillId="0" borderId="9" xfId="0" applyNumberFormat="1" applyFont="1" applyBorder="1" applyAlignment="1">
      <alignment vertical="center" wrapText="1"/>
    </xf>
    <xf numFmtId="0" fontId="7" fillId="0" borderId="9" xfId="0" quotePrefix="1" applyFont="1" applyBorder="1" applyAlignment="1">
      <alignment horizontal="center" vertical="center" wrapText="1"/>
    </xf>
    <xf numFmtId="0" fontId="6" fillId="0" borderId="9" xfId="0" quotePrefix="1" applyFont="1" applyBorder="1" applyAlignment="1">
      <alignment horizontal="center" vertical="center" wrapText="1"/>
    </xf>
    <xf numFmtId="0" fontId="15" fillId="0" borderId="9"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3" fontId="6" fillId="0" borderId="10" xfId="0" applyNumberFormat="1" applyFont="1" applyBorder="1" applyAlignment="1">
      <alignment horizontal="right" vertical="center" wrapText="1"/>
    </xf>
    <xf numFmtId="168" fontId="6" fillId="0" borderId="10" xfId="13" applyNumberFormat="1" applyFont="1" applyBorder="1" applyAlignment="1">
      <alignment horizontal="center" vertical="center" wrapText="1"/>
    </xf>
    <xf numFmtId="164" fontId="15" fillId="0" borderId="9" xfId="1" applyFont="1" applyFill="1" applyBorder="1" applyAlignment="1">
      <alignment vertical="center" wrapText="1"/>
    </xf>
    <xf numFmtId="0" fontId="14" fillId="0" borderId="0" xfId="0" applyFont="1" applyFill="1" applyAlignment="1">
      <alignment horizontal="left" vertical="center"/>
    </xf>
    <xf numFmtId="0" fontId="13" fillId="0" borderId="0" xfId="0" applyFont="1" applyFill="1" applyAlignment="1">
      <alignment vertical="center"/>
    </xf>
    <xf numFmtId="166" fontId="13" fillId="0" borderId="0" xfId="1" applyNumberFormat="1" applyFont="1" applyFill="1" applyAlignment="1">
      <alignment vertical="center"/>
    </xf>
    <xf numFmtId="166" fontId="13" fillId="0" borderId="0" xfId="0" applyNumberFormat="1" applyFont="1" applyFill="1" applyAlignment="1">
      <alignment vertical="center"/>
    </xf>
    <xf numFmtId="166" fontId="15" fillId="0" borderId="0" xfId="0" applyNumberFormat="1" applyFont="1" applyFill="1" applyAlignment="1">
      <alignment vertical="center"/>
    </xf>
    <xf numFmtId="0" fontId="15" fillId="0" borderId="0" xfId="0" applyFont="1" applyFill="1" applyAlignment="1">
      <alignment vertical="center"/>
    </xf>
    <xf numFmtId="170" fontId="15" fillId="0" borderId="0" xfId="0" applyNumberFormat="1" applyFont="1" applyFill="1" applyAlignment="1">
      <alignment vertical="center"/>
    </xf>
    <xf numFmtId="166" fontId="13" fillId="0" borderId="5" xfId="1" applyNumberFormat="1" applyFont="1" applyFill="1" applyBorder="1" applyAlignment="1">
      <alignment vertical="center"/>
    </xf>
    <xf numFmtId="0" fontId="13" fillId="0" borderId="5" xfId="0" applyFont="1" applyFill="1" applyBorder="1" applyAlignment="1">
      <alignment horizontal="center" vertical="center"/>
    </xf>
    <xf numFmtId="0" fontId="13" fillId="0" borderId="5" xfId="0" applyFont="1" applyFill="1" applyBorder="1" applyAlignment="1">
      <alignment vertical="center"/>
    </xf>
    <xf numFmtId="0" fontId="13" fillId="0" borderId="20" xfId="0" applyFont="1" applyFill="1" applyBorder="1" applyAlignment="1">
      <alignment horizontal="center" vertical="center"/>
    </xf>
    <xf numFmtId="0" fontId="13" fillId="0" borderId="20" xfId="0" applyFont="1" applyFill="1" applyBorder="1" applyAlignment="1">
      <alignment vertical="center"/>
    </xf>
    <xf numFmtId="166" fontId="13" fillId="0" borderId="20" xfId="1" applyNumberFormat="1" applyFont="1" applyFill="1" applyBorder="1" applyAlignment="1">
      <alignment vertical="center"/>
    </xf>
    <xf numFmtId="165" fontId="15" fillId="0" borderId="20" xfId="1" applyNumberFormat="1" applyFont="1" applyFill="1" applyBorder="1" applyAlignment="1">
      <alignment horizontal="center" vertical="center" wrapText="1"/>
    </xf>
    <xf numFmtId="0" fontId="34" fillId="0" borderId="0" xfId="0" applyFont="1"/>
    <xf numFmtId="0" fontId="10" fillId="0" borderId="9" xfId="0" applyFont="1" applyFill="1" applyBorder="1" applyAlignment="1">
      <alignment horizontal="center" vertical="center" wrapText="1"/>
    </xf>
    <xf numFmtId="0" fontId="10" fillId="0" borderId="9" xfId="0" applyFont="1" applyFill="1" applyBorder="1" applyAlignment="1">
      <alignment vertical="center" wrapText="1"/>
    </xf>
    <xf numFmtId="0" fontId="10" fillId="0" borderId="10" xfId="0" applyFont="1" applyFill="1" applyBorder="1" applyAlignment="1">
      <alignment horizontal="center" vertical="center" wrapText="1"/>
    </xf>
    <xf numFmtId="0" fontId="35" fillId="0" borderId="0" xfId="0" applyFont="1"/>
    <xf numFmtId="0" fontId="30"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10" fillId="0" borderId="15" xfId="0" applyFont="1" applyFill="1" applyBorder="1" applyAlignment="1">
      <alignment vertical="center" wrapText="1"/>
    </xf>
    <xf numFmtId="0" fontId="30" fillId="0" borderId="15" xfId="0" applyFont="1" applyFill="1" applyBorder="1" applyAlignment="1">
      <alignment vertical="center" wrapText="1"/>
    </xf>
    <xf numFmtId="0" fontId="10" fillId="0" borderId="14" xfId="0" applyFont="1" applyFill="1" applyBorder="1" applyAlignment="1">
      <alignment vertical="center" wrapText="1"/>
    </xf>
    <xf numFmtId="0" fontId="17" fillId="0" borderId="0" xfId="0" applyFont="1" applyFill="1" applyAlignment="1">
      <alignment horizontal="left" vertical="center"/>
    </xf>
    <xf numFmtId="0" fontId="11" fillId="0" borderId="0" xfId="0" applyFont="1" applyFill="1"/>
    <xf numFmtId="0" fontId="37" fillId="0" borderId="0" xfId="0" applyFont="1" applyFill="1" applyBorder="1" applyAlignment="1">
      <alignment vertical="center" wrapText="1"/>
    </xf>
    <xf numFmtId="166" fontId="36" fillId="0" borderId="0" xfId="0" applyNumberFormat="1" applyFont="1" applyFill="1" applyAlignment="1">
      <alignment horizontal="center" vertical="center" wrapText="1"/>
    </xf>
    <xf numFmtId="0" fontId="12" fillId="0" borderId="0" xfId="0" applyFont="1" applyFill="1"/>
    <xf numFmtId="0" fontId="1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21" fillId="0" borderId="0" xfId="0" applyFont="1" applyFill="1"/>
    <xf numFmtId="0" fontId="27"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7" fillId="0" borderId="0" xfId="0" applyFont="1" applyFill="1"/>
    <xf numFmtId="166" fontId="13" fillId="0" borderId="8" xfId="1" applyNumberFormat="1" applyFont="1" applyFill="1" applyBorder="1" applyAlignment="1">
      <alignment horizontal="center" vertical="center" wrapText="1"/>
    </xf>
    <xf numFmtId="166" fontId="13" fillId="0" borderId="9" xfId="1" applyNumberFormat="1" applyFont="1" applyFill="1" applyBorder="1" applyAlignment="1">
      <alignment horizontal="center" vertical="center" wrapText="1"/>
    </xf>
    <xf numFmtId="165" fontId="13" fillId="0" borderId="9" xfId="1" applyNumberFormat="1" applyFont="1" applyFill="1" applyBorder="1" applyAlignment="1">
      <alignment horizontal="center" vertical="center" wrapText="1"/>
    </xf>
    <xf numFmtId="166" fontId="13" fillId="0" borderId="9" xfId="1" applyNumberFormat="1" applyFont="1" applyFill="1" applyBorder="1" applyAlignment="1">
      <alignment vertical="center" wrapText="1"/>
    </xf>
    <xf numFmtId="3" fontId="13" fillId="0" borderId="0" xfId="0" applyNumberFormat="1" applyFont="1" applyFill="1" applyAlignment="1">
      <alignment vertical="center"/>
    </xf>
    <xf numFmtId="165" fontId="15" fillId="0" borderId="9" xfId="6" quotePrefix="1" applyNumberFormat="1" applyFont="1" applyFill="1" applyBorder="1" applyAlignment="1">
      <alignment horizontal="center" vertical="center" wrapText="1"/>
    </xf>
    <xf numFmtId="166" fontId="15" fillId="0" borderId="9" xfId="6" applyNumberFormat="1" applyFont="1" applyFill="1" applyBorder="1" applyAlignment="1">
      <alignment horizontal="left" vertical="center" wrapText="1"/>
    </xf>
    <xf numFmtId="166" fontId="15" fillId="0" borderId="9" xfId="1" applyNumberFormat="1" applyFont="1" applyFill="1" applyBorder="1" applyAlignment="1">
      <alignment horizontal="center" vertical="center" wrapText="1"/>
    </xf>
    <xf numFmtId="166" fontId="15" fillId="0" borderId="9" xfId="1" applyNumberFormat="1" applyFont="1" applyFill="1" applyBorder="1" applyAlignment="1">
      <alignment vertical="center"/>
    </xf>
    <xf numFmtId="165" fontId="15" fillId="0" borderId="9" xfId="1" applyNumberFormat="1" applyFont="1" applyFill="1" applyBorder="1" applyAlignment="1">
      <alignment horizontal="center" vertical="center" wrapText="1"/>
    </xf>
    <xf numFmtId="166" fontId="15" fillId="0" borderId="9" xfId="6" quotePrefix="1" applyNumberFormat="1" applyFont="1" applyFill="1" applyBorder="1" applyAlignment="1">
      <alignment horizontal="center" vertical="center"/>
    </xf>
    <xf numFmtId="0" fontId="15" fillId="0" borderId="9" xfId="7" applyFont="1" applyFill="1" applyBorder="1" applyAlignment="1">
      <alignment vertical="center" wrapText="1"/>
    </xf>
    <xf numFmtId="166" fontId="15" fillId="0" borderId="9" xfId="6" applyNumberFormat="1" applyFont="1" applyFill="1" applyBorder="1" applyAlignment="1">
      <alignment vertical="center" wrapText="1"/>
    </xf>
    <xf numFmtId="166" fontId="15" fillId="0" borderId="9" xfId="1" applyNumberFormat="1" applyFont="1" applyFill="1" applyBorder="1" applyAlignment="1">
      <alignment horizontal="right" vertical="center" wrapText="1"/>
    </xf>
    <xf numFmtId="3" fontId="15" fillId="0" borderId="9" xfId="1" applyNumberFormat="1" applyFont="1" applyFill="1" applyBorder="1" applyAlignment="1">
      <alignment horizontal="right" vertical="center" wrapText="1"/>
    </xf>
    <xf numFmtId="0" fontId="15" fillId="0" borderId="9" xfId="0" applyFont="1" applyFill="1" applyBorder="1" applyAlignment="1" applyProtection="1">
      <alignment horizontal="left" vertical="center" wrapText="1"/>
      <protection locked="0"/>
    </xf>
    <xf numFmtId="3" fontId="15" fillId="0" borderId="9" xfId="4" applyNumberFormat="1" applyFont="1" applyFill="1" applyBorder="1" applyAlignment="1">
      <alignment vertical="center" wrapText="1"/>
    </xf>
    <xf numFmtId="0" fontId="15" fillId="0" borderId="9" xfId="4" applyFont="1" applyFill="1" applyBorder="1" applyAlignment="1">
      <alignment vertical="center" wrapText="1"/>
    </xf>
    <xf numFmtId="0" fontId="15" fillId="0" borderId="9" xfId="0" applyFont="1" applyFill="1" applyBorder="1" applyAlignment="1">
      <alignment horizontal="left" vertical="center" wrapText="1"/>
    </xf>
    <xf numFmtId="166" fontId="13" fillId="0" borderId="9" xfId="1" quotePrefix="1" applyNumberFormat="1" applyFont="1" applyFill="1" applyBorder="1" applyAlignment="1">
      <alignment horizontal="center" vertical="center" wrapText="1"/>
    </xf>
    <xf numFmtId="3" fontId="13" fillId="0" borderId="9" xfId="4" applyNumberFormat="1" applyFont="1" applyFill="1" applyBorder="1" applyAlignment="1">
      <alignment horizontal="left" vertical="center" wrapText="1"/>
    </xf>
    <xf numFmtId="166" fontId="15" fillId="0" borderId="9" xfId="1" quotePrefix="1" applyNumberFormat="1" applyFont="1" applyFill="1" applyBorder="1" applyAlignment="1">
      <alignment horizontal="center" vertical="center" wrapText="1"/>
    </xf>
    <xf numFmtId="166" fontId="15" fillId="0" borderId="9" xfId="1" applyNumberFormat="1" applyFont="1" applyFill="1" applyBorder="1" applyAlignment="1">
      <alignment horizontal="left" vertical="center" wrapText="1"/>
    </xf>
    <xf numFmtId="166" fontId="13" fillId="0" borderId="9" xfId="1" applyNumberFormat="1" applyFont="1" applyFill="1" applyBorder="1" applyAlignment="1">
      <alignment horizontal="left" vertical="center" wrapText="1"/>
    </xf>
    <xf numFmtId="166" fontId="13" fillId="0" borderId="9" xfId="1" applyNumberFormat="1" applyFont="1" applyFill="1" applyBorder="1" applyAlignment="1">
      <alignment vertical="center"/>
    </xf>
    <xf numFmtId="0" fontId="13"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15" xfId="0" applyFont="1" applyFill="1" applyBorder="1" applyAlignment="1">
      <alignment horizontal="center" vertical="center" wrapText="1"/>
    </xf>
    <xf numFmtId="0" fontId="13" fillId="0" borderId="15" xfId="0" applyFont="1" applyFill="1" applyBorder="1" applyAlignment="1">
      <alignment vertical="center" wrapText="1"/>
    </xf>
    <xf numFmtId="166" fontId="13" fillId="0" borderId="15" xfId="1" applyNumberFormat="1" applyFont="1" applyFill="1" applyBorder="1" applyAlignment="1">
      <alignment horizontal="center" vertical="center" wrapText="1"/>
    </xf>
    <xf numFmtId="166" fontId="13" fillId="0" borderId="15" xfId="1" applyNumberFormat="1" applyFont="1" applyFill="1" applyBorder="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166" fontId="13" fillId="0" borderId="10" xfId="1" applyNumberFormat="1" applyFont="1" applyFill="1" applyBorder="1" applyAlignment="1">
      <alignment horizontal="center" vertical="center" wrapText="1"/>
    </xf>
    <xf numFmtId="166" fontId="13" fillId="0" borderId="10" xfId="1" applyNumberFormat="1" applyFont="1" applyFill="1" applyBorder="1" applyAlignment="1">
      <alignment vertical="center"/>
    </xf>
    <xf numFmtId="165" fontId="15" fillId="0" borderId="10" xfId="1" applyNumberFormat="1" applyFont="1" applyFill="1" applyBorder="1" applyAlignment="1">
      <alignment horizontal="center" vertical="center" wrapText="1"/>
    </xf>
    <xf numFmtId="0" fontId="40" fillId="0" borderId="0" xfId="0" applyFont="1" applyFill="1"/>
    <xf numFmtId="165" fontId="13" fillId="2" borderId="4" xfId="1" applyNumberFormat="1" applyFont="1" applyFill="1" applyBorder="1" applyAlignment="1">
      <alignment horizontal="center" vertical="center" wrapText="1"/>
    </xf>
    <xf numFmtId="165" fontId="13" fillId="0" borderId="4" xfId="1" applyNumberFormat="1" applyFont="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24" fillId="0" borderId="0" xfId="0" applyFont="1" applyFill="1"/>
    <xf numFmtId="0" fontId="10" fillId="0" borderId="0" xfId="0" applyFont="1" applyFill="1" applyAlignment="1">
      <alignment vertical="center"/>
    </xf>
    <xf numFmtId="0" fontId="41" fillId="0" borderId="0" xfId="0" applyFont="1" applyFill="1"/>
    <xf numFmtId="0" fontId="38" fillId="0" borderId="0" xfId="0" applyFont="1" applyFill="1" applyAlignment="1">
      <alignment horizontal="center" vertical="center"/>
    </xf>
    <xf numFmtId="0" fontId="24" fillId="0" borderId="0" xfId="0" applyFont="1" applyFill="1" applyAlignment="1">
      <alignment vertical="center"/>
    </xf>
    <xf numFmtId="0" fontId="1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0" fillId="0" borderId="17" xfId="0" applyFont="1" applyFill="1" applyBorder="1" applyAlignment="1">
      <alignment horizontal="center" vertical="center" wrapText="1"/>
    </xf>
    <xf numFmtId="3" fontId="21" fillId="0" borderId="5" xfId="0" applyNumberFormat="1" applyFont="1" applyFill="1" applyBorder="1" applyAlignment="1">
      <alignment horizontal="right" vertical="center" wrapText="1"/>
    </xf>
    <xf numFmtId="3" fontId="30" fillId="0" borderId="5" xfId="0" applyNumberFormat="1" applyFont="1" applyFill="1" applyBorder="1" applyAlignment="1">
      <alignment horizontal="right" vertical="center" wrapText="1"/>
    </xf>
    <xf numFmtId="9" fontId="30" fillId="0" borderId="5" xfId="17" applyFont="1" applyFill="1" applyBorder="1" applyAlignment="1">
      <alignment horizontal="right" vertical="center" wrapText="1"/>
    </xf>
    <xf numFmtId="3" fontId="16" fillId="0" borderId="9" xfId="15" applyNumberFormat="1" applyFont="1" applyFill="1" applyBorder="1" applyAlignment="1">
      <alignment vertical="center" wrapText="1"/>
    </xf>
    <xf numFmtId="3" fontId="16" fillId="0" borderId="9" xfId="0" applyNumberFormat="1" applyFont="1" applyFill="1" applyBorder="1" applyAlignment="1">
      <alignment vertical="center" wrapText="1"/>
    </xf>
    <xf numFmtId="3" fontId="16" fillId="0" borderId="5" xfId="0" applyNumberFormat="1" applyFont="1" applyFill="1" applyBorder="1" applyAlignment="1">
      <alignment vertical="center" wrapText="1"/>
    </xf>
    <xf numFmtId="3" fontId="10" fillId="0" borderId="9" xfId="15" applyNumberFormat="1" applyFont="1" applyFill="1" applyBorder="1" applyAlignment="1">
      <alignment horizontal="right" vertical="center" wrapText="1"/>
    </xf>
    <xf numFmtId="3" fontId="10" fillId="0" borderId="9" xfId="0" applyNumberFormat="1" applyFont="1" applyFill="1" applyBorder="1" applyAlignment="1">
      <alignment horizontal="right" vertical="center" wrapText="1"/>
    </xf>
    <xf numFmtId="3" fontId="25" fillId="0" borderId="9" xfId="0" applyNumberFormat="1" applyFont="1" applyFill="1" applyBorder="1" applyAlignment="1">
      <alignment horizontal="right" vertical="center" wrapText="1"/>
    </xf>
    <xf numFmtId="9" fontId="10" fillId="0" borderId="5" xfId="17" applyFont="1" applyFill="1" applyBorder="1" applyAlignment="1">
      <alignment horizontal="right" vertical="center" wrapText="1"/>
    </xf>
    <xf numFmtId="3" fontId="24" fillId="0" borderId="0" xfId="0" applyNumberFormat="1" applyFont="1" applyFill="1"/>
    <xf numFmtId="3" fontId="10" fillId="0" borderId="9" xfId="0" applyNumberFormat="1" applyFont="1" applyFill="1" applyBorder="1" applyAlignment="1">
      <alignment vertical="center" wrapText="1"/>
    </xf>
    <xf numFmtId="3" fontId="10" fillId="0" borderId="5" xfId="0" applyNumberFormat="1" applyFont="1" applyFill="1" applyBorder="1" applyAlignment="1">
      <alignment vertical="center" wrapText="1"/>
    </xf>
    <xf numFmtId="9" fontId="10" fillId="0" borderId="18" xfId="17" applyFont="1" applyFill="1" applyBorder="1" applyAlignment="1">
      <alignment horizontal="right" vertical="center" wrapText="1"/>
    </xf>
    <xf numFmtId="3" fontId="16" fillId="0" borderId="15" xfId="0" applyNumberFormat="1" applyFont="1" applyFill="1" applyBorder="1" applyAlignment="1">
      <alignment vertical="center" wrapText="1"/>
    </xf>
    <xf numFmtId="3" fontId="10" fillId="0" borderId="15" xfId="0" applyNumberFormat="1" applyFont="1" applyFill="1" applyBorder="1" applyAlignment="1">
      <alignment vertical="center" wrapText="1"/>
    </xf>
    <xf numFmtId="9" fontId="30" fillId="0" borderId="16" xfId="17" applyFont="1" applyFill="1" applyBorder="1" applyAlignment="1">
      <alignment horizontal="right" vertical="center" wrapText="1"/>
    </xf>
    <xf numFmtId="169" fontId="21" fillId="0" borderId="5" xfId="15" applyNumberFormat="1" applyFont="1" applyFill="1" applyBorder="1" applyAlignment="1">
      <alignment horizontal="right" vertical="center" wrapText="1"/>
    </xf>
    <xf numFmtId="0" fontId="26" fillId="0" borderId="0" xfId="0" applyFont="1" applyFill="1"/>
    <xf numFmtId="3" fontId="16" fillId="0" borderId="10" xfId="15" applyNumberFormat="1" applyFont="1" applyFill="1" applyBorder="1" applyAlignment="1">
      <alignment vertical="center" wrapText="1"/>
    </xf>
    <xf numFmtId="3" fontId="16" fillId="0" borderId="10" xfId="0" applyNumberFormat="1" applyFont="1" applyFill="1" applyBorder="1" applyAlignment="1">
      <alignment vertical="center" wrapText="1"/>
    </xf>
    <xf numFmtId="3" fontId="10" fillId="0" borderId="10" xfId="15" applyNumberFormat="1" applyFont="1" applyFill="1" applyBorder="1" applyAlignment="1">
      <alignment vertical="center" wrapText="1"/>
    </xf>
    <xf numFmtId="3" fontId="10" fillId="0" borderId="10" xfId="0" applyNumberFormat="1" applyFont="1" applyFill="1" applyBorder="1" applyAlignment="1">
      <alignment vertical="center" wrapText="1"/>
    </xf>
    <xf numFmtId="9" fontId="10" fillId="0" borderId="19" xfId="17" applyFont="1" applyFill="1" applyBorder="1" applyAlignment="1">
      <alignment horizontal="right" vertical="center" wrapText="1"/>
    </xf>
    <xf numFmtId="9" fontId="10" fillId="0" borderId="20" xfId="17" applyFont="1" applyFill="1" applyBorder="1" applyAlignment="1">
      <alignment horizontal="right" vertical="center" wrapText="1"/>
    </xf>
    <xf numFmtId="169" fontId="11" fillId="0" borderId="0" xfId="0" applyNumberFormat="1" applyFont="1" applyFill="1"/>
    <xf numFmtId="0" fontId="32" fillId="0" borderId="1" xfId="0" applyFont="1" applyFill="1" applyBorder="1" applyAlignment="1">
      <alignment horizontal="center" vertical="center" wrapText="1"/>
    </xf>
    <xf numFmtId="0" fontId="24" fillId="0" borderId="21" xfId="0" applyFont="1" applyFill="1" applyBorder="1" applyAlignment="1">
      <alignment vertical="center"/>
    </xf>
    <xf numFmtId="166" fontId="15" fillId="0" borderId="9" xfId="1" applyNumberFormat="1" applyFont="1" applyFill="1" applyBorder="1" applyAlignment="1">
      <alignment vertical="center" wrapText="1"/>
    </xf>
    <xf numFmtId="166" fontId="15" fillId="2" borderId="9" xfId="1" applyNumberFormat="1" applyFont="1" applyFill="1" applyBorder="1" applyAlignment="1">
      <alignment vertical="center" wrapText="1"/>
    </xf>
    <xf numFmtId="0" fontId="8" fillId="0" borderId="1" xfId="0" applyFont="1" applyBorder="1" applyAlignment="1">
      <alignment horizontal="center" vertical="center" wrapText="1"/>
    </xf>
    <xf numFmtId="0" fontId="12" fillId="0" borderId="0" xfId="0" applyFont="1" applyFill="1" applyAlignment="1">
      <alignment vertical="center"/>
    </xf>
    <xf numFmtId="0" fontId="11" fillId="0" borderId="0" xfId="0" applyFont="1" applyFill="1" applyAlignment="1">
      <alignment vertical="center"/>
    </xf>
    <xf numFmtId="0" fontId="41" fillId="0" borderId="0" xfId="0" applyFont="1" applyFill="1" applyAlignment="1">
      <alignment vertical="center"/>
    </xf>
    <xf numFmtId="3" fontId="11" fillId="0" borderId="0" xfId="0" applyNumberFormat="1" applyFont="1" applyFill="1" applyAlignment="1">
      <alignment vertical="center"/>
    </xf>
    <xf numFmtId="166" fontId="12" fillId="0" borderId="0" xfId="0" applyNumberFormat="1" applyFont="1" applyFill="1" applyAlignment="1">
      <alignment vertical="center"/>
    </xf>
    <xf numFmtId="165" fontId="12" fillId="0" borderId="0" xfId="1" applyNumberFormat="1" applyFont="1" applyAlignment="1">
      <alignment horizontal="left" vertical="center"/>
    </xf>
    <xf numFmtId="0" fontId="11" fillId="0" borderId="1" xfId="0" applyFont="1" applyFill="1" applyBorder="1" applyAlignment="1">
      <alignment horizontal="center" vertical="center" wrapText="1"/>
    </xf>
    <xf numFmtId="0" fontId="24" fillId="0" borderId="0" xfId="0" applyFont="1" applyBorder="1"/>
    <xf numFmtId="166" fontId="16" fillId="0" borderId="0" xfId="1" applyNumberFormat="1" applyFont="1" applyBorder="1" applyAlignment="1">
      <alignment horizontal="center" vertical="center" wrapText="1"/>
    </xf>
    <xf numFmtId="165" fontId="13" fillId="2" borderId="5" xfId="1" applyNumberFormat="1" applyFont="1" applyFill="1" applyBorder="1" applyAlignment="1">
      <alignment horizontal="center" vertical="center" wrapText="1"/>
    </xf>
    <xf numFmtId="0" fontId="13" fillId="2" borderId="0" xfId="0" applyFont="1" applyFill="1" applyAlignment="1">
      <alignment vertical="center"/>
    </xf>
    <xf numFmtId="166" fontId="15" fillId="2" borderId="0" xfId="0" applyNumberFormat="1" applyFont="1" applyFill="1" applyAlignment="1">
      <alignment vertical="center"/>
    </xf>
    <xf numFmtId="0" fontId="12" fillId="0" borderId="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36"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166" fontId="13" fillId="2" borderId="5" xfId="1" applyNumberFormat="1" applyFont="1" applyFill="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6" fillId="0" borderId="1" xfId="0" applyFont="1" applyBorder="1" applyAlignment="1">
      <alignment horizontal="center" vertical="center" wrapText="1"/>
    </xf>
    <xf numFmtId="0" fontId="12" fillId="0" borderId="0" xfId="0" applyFont="1" applyFill="1" applyAlignment="1">
      <alignment horizontal="center" vertical="center" wrapText="1"/>
    </xf>
    <xf numFmtId="0" fontId="14" fillId="0" borderId="0" xfId="0" applyFont="1" applyFill="1" applyAlignment="1">
      <alignment horizontal="center" vertical="center"/>
    </xf>
    <xf numFmtId="0" fontId="14" fillId="0" borderId="7" xfId="0" applyFont="1" applyBorder="1" applyAlignment="1">
      <alignment horizontal="right"/>
    </xf>
    <xf numFmtId="0" fontId="12" fillId="0" borderId="1" xfId="0" applyFont="1" applyFill="1" applyBorder="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38" fillId="0" borderId="0" xfId="0" applyFont="1" applyFill="1" applyAlignment="1">
      <alignment horizontal="left"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12" fillId="0" borderId="0" xfId="0" applyFont="1" applyFill="1" applyAlignment="1">
      <alignment horizontal="center"/>
    </xf>
    <xf numFmtId="0" fontId="28" fillId="0" borderId="1" xfId="0" applyFont="1" applyFill="1" applyBorder="1" applyAlignment="1">
      <alignment horizontal="center" vertical="center" wrapText="1"/>
    </xf>
    <xf numFmtId="0" fontId="36" fillId="0" borderId="0" xfId="0" applyFont="1" applyFill="1" applyAlignment="1">
      <alignment horizontal="center" vertical="center" wrapText="1"/>
    </xf>
    <xf numFmtId="0" fontId="12" fillId="0" borderId="0" xfId="0" applyFont="1" applyFill="1" applyAlignment="1">
      <alignment horizontal="left"/>
    </xf>
    <xf numFmtId="0" fontId="38" fillId="0" borderId="7" xfId="0" applyFont="1" applyFill="1" applyBorder="1" applyAlignment="1">
      <alignment horizontal="right"/>
    </xf>
    <xf numFmtId="0" fontId="18" fillId="0" borderId="7" xfId="0" applyFont="1" applyBorder="1" applyAlignment="1">
      <alignment horizontal="right" vertical="center"/>
    </xf>
    <xf numFmtId="0" fontId="12" fillId="0" borderId="12" xfId="0" applyFont="1" applyFill="1" applyBorder="1" applyAlignment="1">
      <alignment horizontal="center" vertical="center" wrapText="1"/>
    </xf>
    <xf numFmtId="0" fontId="13" fillId="0" borderId="2" xfId="0" applyFont="1" applyBorder="1" applyAlignment="1">
      <alignment horizontal="center" vertical="center" wrapText="1"/>
    </xf>
    <xf numFmtId="0" fontId="19" fillId="0" borderId="0" xfId="0" applyFont="1" applyAlignment="1">
      <alignment horizontal="center" vertical="center" wrapText="1"/>
    </xf>
    <xf numFmtId="0" fontId="7" fillId="0" borderId="0" xfId="0" applyFont="1" applyAlignment="1">
      <alignment horizontal="center" vertical="center" wrapText="1"/>
    </xf>
    <xf numFmtId="0" fontId="3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0" fillId="0" borderId="0" xfId="0" applyFont="1" applyFill="1" applyAlignment="1">
      <alignment horizontal="left" vertical="center" wrapText="1"/>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26" fillId="0" borderId="1" xfId="0" applyFont="1" applyFill="1" applyBorder="1" applyAlignment="1">
      <alignment horizontal="center" vertical="center"/>
    </xf>
    <xf numFmtId="0" fontId="21" fillId="0" borderId="0" xfId="0" applyFont="1" applyFill="1" applyAlignment="1">
      <alignment horizontal="center" vertical="center" wrapText="1"/>
    </xf>
    <xf numFmtId="0" fontId="12" fillId="0" borderId="1" xfId="0" applyFont="1" applyFill="1" applyBorder="1" applyAlignment="1">
      <alignment horizontal="center" vertical="center"/>
    </xf>
    <xf numFmtId="0" fontId="25" fillId="0" borderId="1" xfId="0" applyFont="1" applyFill="1" applyBorder="1" applyAlignment="1">
      <alignment horizontal="center" vertical="center" wrapText="1"/>
    </xf>
  </cellXfs>
  <cellStyles count="18">
    <cellStyle name="AutoFormat-Optionen" xfId="3"/>
    <cellStyle name="AutoFormat-Optionen 2 2" xfId="7"/>
    <cellStyle name="AutoFormat-Optionen 4" xfId="4"/>
    <cellStyle name="Comma" xfId="1" builtinId="3"/>
    <cellStyle name="Comma 10 2" xfId="11"/>
    <cellStyle name="Comma 10 3" xfId="6"/>
    <cellStyle name="Comma 14" xfId="9"/>
    <cellStyle name="Comma 2" xfId="15"/>
    <cellStyle name="Comma 2 2 2" xfId="2"/>
    <cellStyle name="Comma 23 2" xfId="10"/>
    <cellStyle name="Comma 3" xfId="16"/>
    <cellStyle name="Normal" xfId="0" builtinId="0"/>
    <cellStyle name="Normal 2 2" xfId="12"/>
    <cellStyle name="Normal 3 4" xfId="5"/>
    <cellStyle name="Normal 6 6" xfId="8"/>
    <cellStyle name="Percent" xfId="13" builtinId="5"/>
    <cellStyle name="Percent 9 3" xfId="14"/>
    <cellStyle name="Percent 9 3 2" xfId="17"/>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20so%20Quyet%20Toan\QToan%202020%20toan%20tinh\Ho%20so%20UB%20trinh%20phan%20bo%20ket%20du%20QT%202020\Nghi%20quyet%20so%2060.%20Bieu%20quyet%20toan%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ội địa"/>
      <sheetName val="Tong hop phan cong"/>
      <sheetName val="Bieu 48"/>
      <sheetName val="Bieu 50"/>
      <sheetName val="Bieu 51"/>
      <sheetName val="bieu 52"/>
      <sheetName val="bieu 53"/>
      <sheetName val="Bieu 54_"/>
      <sheetName val="Bieu 54"/>
      <sheetName val="Bieu 58_"/>
      <sheetName val="Bieu 59_"/>
      <sheetName val="Bieu 61_"/>
      <sheetName val="Biêu 63_"/>
      <sheetName val="Biêu 64-"/>
      <sheetName val="Bieu 61_Hien vo"/>
    </sheetNames>
    <sheetDataSet>
      <sheetData sheetId="0"/>
      <sheetData sheetId="1"/>
      <sheetData sheetId="2"/>
      <sheetData sheetId="3"/>
      <sheetData sheetId="4">
        <row r="11">
          <cell r="E11">
            <v>1220519.7125190001</v>
          </cell>
        </row>
        <row r="14">
          <cell r="E14">
            <v>16028.706697</v>
          </cell>
        </row>
        <row r="20">
          <cell r="E20">
            <v>4579953.3867929997</v>
          </cell>
        </row>
        <row r="23">
          <cell r="E23">
            <v>11706.385414</v>
          </cell>
        </row>
      </sheetData>
      <sheetData sheetId="5">
        <row r="27">
          <cell r="C27">
            <v>2844</v>
          </cell>
        </row>
      </sheetData>
      <sheetData sheetId="6">
        <row r="15">
          <cell r="G15">
            <v>16026.487697</v>
          </cell>
        </row>
        <row r="21">
          <cell r="G21">
            <v>1566342.429003</v>
          </cell>
        </row>
        <row r="24">
          <cell r="G24">
            <v>10369.584934</v>
          </cell>
        </row>
      </sheetData>
      <sheetData sheetId="7"/>
      <sheetData sheetId="8"/>
      <sheetData sheetId="9">
        <row r="10">
          <cell r="E10">
            <v>55071.662280999997</v>
          </cell>
          <cell r="R10">
            <v>112899.289041</v>
          </cell>
        </row>
      </sheetData>
      <sheetData sheetId="10"/>
      <sheetData sheetId="11">
        <row r="13">
          <cell r="C13">
            <v>156888</v>
          </cell>
          <cell r="F13">
            <v>146898</v>
          </cell>
          <cell r="M13">
            <v>9990</v>
          </cell>
          <cell r="V13">
            <v>11826.817874</v>
          </cell>
          <cell r="W13">
            <v>160164.07577</v>
          </cell>
        </row>
        <row r="35">
          <cell r="C35">
            <v>504120</v>
          </cell>
          <cell r="F35">
            <v>141620</v>
          </cell>
          <cell r="M35">
            <v>362500</v>
          </cell>
          <cell r="W35">
            <v>156813.84664899998</v>
          </cell>
          <cell r="AD35">
            <v>367409.64312000002</v>
          </cell>
        </row>
      </sheetData>
      <sheetData sheetId="12"/>
      <sheetData sheetId="13"/>
      <sheetData sheetId="14">
        <row r="13">
          <cell r="AD13">
            <v>5657.8178740000003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3"/>
  <sheetViews>
    <sheetView tabSelected="1" zoomScale="90" zoomScaleNormal="90" workbookViewId="0">
      <pane xSplit="2" ySplit="7" topLeftCell="C20" activePane="bottomRight" state="frozen"/>
      <selection pane="topRight" activeCell="C1" sqref="C1"/>
      <selection pane="bottomLeft" activeCell="A8" sqref="A8"/>
      <selection pane="bottomRight" activeCell="D11" sqref="D11"/>
    </sheetView>
  </sheetViews>
  <sheetFormatPr defaultColWidth="9.109375" defaultRowHeight="15.6" outlineLevelRow="1" x14ac:dyDescent="0.3"/>
  <cols>
    <col min="1" max="1" width="6.44140625" style="18" customWidth="1"/>
    <col min="2" max="2" width="52.88671875" style="18" customWidth="1"/>
    <col min="3" max="3" width="13" style="18" customWidth="1"/>
    <col min="4" max="4" width="13.44140625" style="18" customWidth="1"/>
    <col min="5" max="5" width="9.109375" style="18" customWidth="1"/>
    <col min="6" max="6" width="9.109375" style="18"/>
    <col min="7" max="7" width="15.109375" style="18" customWidth="1"/>
    <col min="8" max="8" width="15.44140625" style="18" customWidth="1"/>
    <col min="9" max="16384" width="9.109375" style="18"/>
  </cols>
  <sheetData>
    <row r="1" spans="1:12" x14ac:dyDescent="0.3">
      <c r="A1" s="25"/>
      <c r="D1" s="25" t="s">
        <v>0</v>
      </c>
    </row>
    <row r="2" spans="1:12" x14ac:dyDescent="0.3">
      <c r="A2" s="2"/>
      <c r="B2" s="39"/>
    </row>
    <row r="3" spans="1:12" ht="24" customHeight="1" x14ac:dyDescent="0.3">
      <c r="A3" s="284" t="s">
        <v>479</v>
      </c>
      <c r="B3" s="284"/>
      <c r="C3" s="284"/>
      <c r="D3" s="284"/>
      <c r="E3" s="284"/>
    </row>
    <row r="4" spans="1:12" ht="20.25" customHeight="1" x14ac:dyDescent="0.3">
      <c r="A4" s="285" t="s">
        <v>538</v>
      </c>
      <c r="B4" s="285"/>
      <c r="C4" s="285"/>
      <c r="D4" s="285"/>
      <c r="E4" s="285"/>
    </row>
    <row r="5" spans="1:12" x14ac:dyDescent="0.3">
      <c r="B5" s="41"/>
      <c r="C5" s="15"/>
      <c r="D5" s="20" t="s">
        <v>1</v>
      </c>
    </row>
    <row r="6" spans="1:12" ht="50.25" customHeight="1" x14ac:dyDescent="0.3">
      <c r="A6" s="101" t="s">
        <v>2</v>
      </c>
      <c r="B6" s="101" t="s">
        <v>3</v>
      </c>
      <c r="C6" s="101" t="s">
        <v>4</v>
      </c>
      <c r="D6" s="101" t="s">
        <v>5</v>
      </c>
      <c r="E6" s="101" t="s">
        <v>6</v>
      </c>
      <c r="F6" s="164"/>
      <c r="G6" s="15"/>
    </row>
    <row r="7" spans="1:12" x14ac:dyDescent="0.3">
      <c r="A7" s="102" t="s">
        <v>7</v>
      </c>
      <c r="B7" s="102" t="s">
        <v>8</v>
      </c>
      <c r="C7" s="102">
        <v>1</v>
      </c>
      <c r="D7" s="102">
        <v>2</v>
      </c>
      <c r="E7" s="102" t="s">
        <v>9</v>
      </c>
    </row>
    <row r="8" spans="1:12" s="107" customFormat="1" ht="21.6" customHeight="1" x14ac:dyDescent="0.3">
      <c r="A8" s="103" t="s">
        <v>7</v>
      </c>
      <c r="B8" s="104" t="s">
        <v>10</v>
      </c>
      <c r="C8" s="105">
        <f t="shared" ref="C8" si="0">C9+C12+C15+C16+C17+C18+C19+C20</f>
        <v>8261747</v>
      </c>
      <c r="D8" s="105">
        <f>D9+D12+D15+D16+D17+D18+D19+D20</f>
        <v>10880625.716910999</v>
      </c>
      <c r="E8" s="106">
        <f t="shared" ref="E8:E17" si="1">IF((C8&gt;0),D8/C8*100,0)</f>
        <v>131.69884912853175</v>
      </c>
      <c r="G8" s="108"/>
    </row>
    <row r="9" spans="1:12" x14ac:dyDescent="0.3">
      <c r="A9" s="109">
        <v>1</v>
      </c>
      <c r="B9" s="110" t="s">
        <v>11</v>
      </c>
      <c r="C9" s="12">
        <f>C10+C11</f>
        <v>2993150</v>
      </c>
      <c r="D9" s="12">
        <f>D10+D11</f>
        <v>2502667.095336</v>
      </c>
      <c r="E9" s="13">
        <f t="shared" si="1"/>
        <v>83.613153211031857</v>
      </c>
      <c r="G9" s="46"/>
      <c r="H9" s="47"/>
      <c r="I9" s="48"/>
      <c r="J9" s="48"/>
      <c r="K9" s="48"/>
      <c r="L9" s="46"/>
    </row>
    <row r="10" spans="1:12" x14ac:dyDescent="0.3">
      <c r="A10" s="109" t="s">
        <v>12</v>
      </c>
      <c r="B10" s="110" t="s">
        <v>13</v>
      </c>
      <c r="C10" s="264">
        <v>1959350</v>
      </c>
      <c r="D10" s="264">
        <f>1394010.536395-25</f>
        <v>1393985.5363950001</v>
      </c>
      <c r="E10" s="13">
        <f t="shared" si="1"/>
        <v>71.145305146859926</v>
      </c>
      <c r="G10" s="46"/>
      <c r="H10" s="49"/>
      <c r="I10" s="46"/>
      <c r="J10" s="46"/>
      <c r="K10" s="46"/>
      <c r="L10" s="46"/>
    </row>
    <row r="11" spans="1:12" x14ac:dyDescent="0.3">
      <c r="A11" s="109" t="s">
        <v>12</v>
      </c>
      <c r="B11" s="110" t="s">
        <v>14</v>
      </c>
      <c r="C11" s="264">
        <v>1033800</v>
      </c>
      <c r="D11" s="264">
        <v>1108681.5589409999</v>
      </c>
      <c r="E11" s="13">
        <f t="shared" si="1"/>
        <v>107.24333129628553</v>
      </c>
      <c r="G11" s="46"/>
      <c r="H11" s="50"/>
      <c r="I11" s="46"/>
      <c r="J11" s="46"/>
      <c r="K11" s="46"/>
      <c r="L11" s="46"/>
    </row>
    <row r="12" spans="1:12" x14ac:dyDescent="0.3">
      <c r="A12" s="109">
        <v>2</v>
      </c>
      <c r="B12" s="110" t="s">
        <v>15</v>
      </c>
      <c r="C12" s="12">
        <f>C13+C14</f>
        <v>5268597</v>
      </c>
      <c r="D12" s="12">
        <f>D13+D14</f>
        <v>5644588.1438759994</v>
      </c>
      <c r="E12" s="13">
        <f t="shared" si="1"/>
        <v>107.13645670519114</v>
      </c>
      <c r="G12" s="46"/>
      <c r="H12" s="49"/>
      <c r="I12" s="46"/>
      <c r="J12" s="46"/>
      <c r="K12" s="46"/>
      <c r="L12" s="46"/>
    </row>
    <row r="13" spans="1:12" x14ac:dyDescent="0.3">
      <c r="A13" s="109" t="s">
        <v>12</v>
      </c>
      <c r="B13" s="110" t="s">
        <v>16</v>
      </c>
      <c r="C13" s="12">
        <v>3285823</v>
      </c>
      <c r="D13" s="111">
        <v>3285823</v>
      </c>
      <c r="E13" s="13">
        <f t="shared" si="1"/>
        <v>100</v>
      </c>
      <c r="G13" s="46"/>
      <c r="H13" s="49"/>
      <c r="I13" s="46"/>
      <c r="J13" s="46"/>
      <c r="K13" s="46"/>
      <c r="L13" s="46"/>
    </row>
    <row r="14" spans="1:12" x14ac:dyDescent="0.3">
      <c r="A14" s="109" t="s">
        <v>12</v>
      </c>
      <c r="B14" s="110" t="s">
        <v>17</v>
      </c>
      <c r="C14" s="12">
        <v>1982774</v>
      </c>
      <c r="D14" s="111">
        <v>2358765.1438759998</v>
      </c>
      <c r="E14" s="13">
        <f t="shared" si="1"/>
        <v>118.96288451815487</v>
      </c>
      <c r="G14" s="46"/>
      <c r="H14" s="49"/>
      <c r="I14" s="46"/>
      <c r="J14" s="46"/>
      <c r="K14" s="46"/>
      <c r="L14" s="46"/>
    </row>
    <row r="15" spans="1:12" x14ac:dyDescent="0.3">
      <c r="A15" s="109">
        <v>3</v>
      </c>
      <c r="B15" s="74" t="s">
        <v>18</v>
      </c>
      <c r="C15" s="264"/>
      <c r="D15" s="264"/>
      <c r="E15" s="13">
        <f t="shared" si="1"/>
        <v>0</v>
      </c>
      <c r="G15" s="46"/>
      <c r="H15" s="112"/>
      <c r="I15" s="46"/>
      <c r="J15" s="46"/>
      <c r="K15" s="46"/>
      <c r="L15" s="46"/>
    </row>
    <row r="16" spans="1:12" x14ac:dyDescent="0.3">
      <c r="A16" s="109">
        <v>4</v>
      </c>
      <c r="B16" s="74" t="s">
        <v>257</v>
      </c>
      <c r="C16" s="264"/>
      <c r="D16" s="264">
        <v>106080.350489</v>
      </c>
      <c r="E16" s="13">
        <f t="shared" si="1"/>
        <v>0</v>
      </c>
      <c r="G16" s="46"/>
      <c r="H16" s="46"/>
      <c r="I16" s="46"/>
      <c r="J16" s="46"/>
      <c r="K16" s="46"/>
      <c r="L16" s="46"/>
    </row>
    <row r="17" spans="1:12" x14ac:dyDescent="0.3">
      <c r="A17" s="109">
        <v>5</v>
      </c>
      <c r="B17" s="74" t="s">
        <v>19</v>
      </c>
      <c r="C17" s="264"/>
      <c r="D17" s="264">
        <v>2584074.338399</v>
      </c>
      <c r="E17" s="13">
        <f t="shared" si="1"/>
        <v>0</v>
      </c>
      <c r="G17" s="46"/>
      <c r="H17" s="46"/>
      <c r="I17" s="46"/>
      <c r="J17" s="46"/>
      <c r="K17" s="46"/>
      <c r="L17" s="46"/>
    </row>
    <row r="18" spans="1:12" x14ac:dyDescent="0.3">
      <c r="A18" s="109">
        <v>6</v>
      </c>
      <c r="B18" s="74" t="s">
        <v>143</v>
      </c>
      <c r="C18" s="264"/>
      <c r="D18" s="264">
        <v>24918.865811</v>
      </c>
      <c r="E18" s="13"/>
      <c r="G18" s="46"/>
      <c r="H18" s="50"/>
      <c r="I18" s="46"/>
      <c r="J18" s="46"/>
      <c r="K18" s="46"/>
      <c r="L18" s="46"/>
    </row>
    <row r="19" spans="1:12" x14ac:dyDescent="0.3">
      <c r="A19" s="109">
        <v>7</v>
      </c>
      <c r="B19" s="74" t="s">
        <v>169</v>
      </c>
      <c r="C19" s="264"/>
      <c r="D19" s="264">
        <v>18271.922999999999</v>
      </c>
      <c r="E19" s="13"/>
      <c r="G19" s="46"/>
      <c r="H19" s="46"/>
      <c r="I19" s="46"/>
      <c r="J19" s="46"/>
      <c r="K19" s="46"/>
      <c r="L19" s="46"/>
    </row>
    <row r="20" spans="1:12" x14ac:dyDescent="0.3">
      <c r="A20" s="109">
        <v>8</v>
      </c>
      <c r="B20" s="74" t="s">
        <v>258</v>
      </c>
      <c r="C20" s="264"/>
      <c r="D20" s="264">
        <v>25</v>
      </c>
      <c r="E20" s="13"/>
      <c r="G20" s="46"/>
      <c r="H20" s="46"/>
      <c r="I20" s="46"/>
      <c r="J20" s="46"/>
      <c r="K20" s="46"/>
      <c r="L20" s="46"/>
    </row>
    <row r="21" spans="1:12" s="107" customFormat="1" x14ac:dyDescent="0.3">
      <c r="A21" s="113" t="s">
        <v>8</v>
      </c>
      <c r="B21" s="114" t="s">
        <v>20</v>
      </c>
      <c r="C21" s="115">
        <f>C22+C29+C32</f>
        <v>8261747</v>
      </c>
      <c r="D21" s="116">
        <f>D22+D29+D32+D33</f>
        <v>10807016.130872998</v>
      </c>
      <c r="E21" s="10">
        <f t="shared" ref="E21:E41" si="2">IF((C21&gt;0),D21/C21*100,0)</f>
        <v>130.8078803535499</v>
      </c>
      <c r="G21" s="51"/>
      <c r="H21" s="51"/>
      <c r="I21" s="46"/>
      <c r="J21" s="46"/>
      <c r="K21" s="46"/>
      <c r="L21" s="48"/>
    </row>
    <row r="22" spans="1:12" s="107" customFormat="1" x14ac:dyDescent="0.3">
      <c r="A22" s="113" t="s">
        <v>21</v>
      </c>
      <c r="B22" s="114" t="s">
        <v>22</v>
      </c>
      <c r="C22" s="115">
        <f>SUM(C23:C28)</f>
        <v>6278973</v>
      </c>
      <c r="D22" s="115">
        <f>SUM(D23:D28)</f>
        <v>5882726.3479219992</v>
      </c>
      <c r="E22" s="10">
        <f t="shared" si="2"/>
        <v>93.689307915832714</v>
      </c>
      <c r="G22" s="48"/>
      <c r="H22" s="51"/>
      <c r="I22" s="48"/>
      <c r="J22" s="48"/>
      <c r="K22" s="48"/>
      <c r="L22" s="48"/>
    </row>
    <row r="23" spans="1:12" x14ac:dyDescent="0.3">
      <c r="A23" s="109">
        <v>1</v>
      </c>
      <c r="B23" s="74" t="s">
        <v>23</v>
      </c>
      <c r="C23" s="264">
        <v>825372</v>
      </c>
      <c r="D23" s="264">
        <v>1228339.7125190003</v>
      </c>
      <c r="E23" s="13">
        <f t="shared" si="2"/>
        <v>148.82255667977594</v>
      </c>
      <c r="G23" s="46"/>
      <c r="H23" s="51"/>
      <c r="I23" s="48"/>
      <c r="J23" s="48"/>
      <c r="K23" s="48"/>
      <c r="L23" s="46"/>
    </row>
    <row r="24" spans="1:12" x14ac:dyDescent="0.3">
      <c r="A24" s="109">
        <v>2</v>
      </c>
      <c r="B24" s="74" t="s">
        <v>24</v>
      </c>
      <c r="C24" s="264">
        <v>4445685</v>
      </c>
      <c r="D24" s="264">
        <v>4579953.3867929997</v>
      </c>
      <c r="E24" s="13">
        <f t="shared" si="2"/>
        <v>103.02019569072031</v>
      </c>
      <c r="G24" s="50"/>
      <c r="H24" s="50"/>
      <c r="I24" s="46"/>
      <c r="J24" s="46"/>
      <c r="K24" s="46"/>
      <c r="L24" s="46"/>
    </row>
    <row r="25" spans="1:12" ht="31.2" x14ac:dyDescent="0.3">
      <c r="A25" s="109">
        <v>3</v>
      </c>
      <c r="B25" s="74" t="s">
        <v>259</v>
      </c>
      <c r="C25" s="264">
        <v>1300</v>
      </c>
      <c r="D25" s="264">
        <v>18520.929</v>
      </c>
      <c r="E25" s="13">
        <f t="shared" si="2"/>
        <v>1424.6868461538461</v>
      </c>
    </row>
    <row r="26" spans="1:12" x14ac:dyDescent="0.3">
      <c r="A26" s="109">
        <v>4</v>
      </c>
      <c r="B26" s="74" t="s">
        <v>25</v>
      </c>
      <c r="C26" s="264">
        <v>1000</v>
      </c>
      <c r="D26" s="264">
        <v>1000</v>
      </c>
      <c r="E26" s="13">
        <f t="shared" si="2"/>
        <v>100</v>
      </c>
    </row>
    <row r="27" spans="1:12" x14ac:dyDescent="0.3">
      <c r="A27" s="109">
        <v>5</v>
      </c>
      <c r="B27" s="74" t="s">
        <v>26</v>
      </c>
      <c r="C27" s="264">
        <v>125616</v>
      </c>
      <c r="D27" s="264"/>
      <c r="E27" s="13">
        <f t="shared" si="2"/>
        <v>0</v>
      </c>
    </row>
    <row r="28" spans="1:12" ht="31.2" x14ac:dyDescent="0.3">
      <c r="A28" s="109">
        <v>6</v>
      </c>
      <c r="B28" s="74" t="s">
        <v>489</v>
      </c>
      <c r="C28" s="264">
        <v>880000</v>
      </c>
      <c r="D28" s="264">
        <v>54912.319609999999</v>
      </c>
      <c r="E28" s="13">
        <f t="shared" si="2"/>
        <v>6.2400363193181816</v>
      </c>
    </row>
    <row r="29" spans="1:12" s="107" customFormat="1" x14ac:dyDescent="0.3">
      <c r="A29" s="113" t="s">
        <v>27</v>
      </c>
      <c r="B29" s="114" t="s">
        <v>28</v>
      </c>
      <c r="C29" s="115">
        <f>C30+C31</f>
        <v>1982774</v>
      </c>
      <c r="D29" s="116">
        <f>D30+D31</f>
        <v>2122371.7836420001</v>
      </c>
      <c r="E29" s="10">
        <f t="shared" si="2"/>
        <v>107.04052926062172</v>
      </c>
    </row>
    <row r="30" spans="1:12" ht="15.75" customHeight="1" x14ac:dyDescent="0.3">
      <c r="A30" s="109">
        <v>1</v>
      </c>
      <c r="B30" s="110" t="s">
        <v>29</v>
      </c>
      <c r="C30" s="12">
        <v>661008</v>
      </c>
      <c r="D30" s="111">
        <v>690045.38341300003</v>
      </c>
      <c r="E30" s="13">
        <f t="shared" si="2"/>
        <v>104.39289439961392</v>
      </c>
    </row>
    <row r="31" spans="1:12" x14ac:dyDescent="0.3">
      <c r="A31" s="109">
        <v>2</v>
      </c>
      <c r="B31" s="110" t="s">
        <v>30</v>
      </c>
      <c r="C31" s="12">
        <v>1321766</v>
      </c>
      <c r="D31" s="111">
        <v>1432326.400229</v>
      </c>
      <c r="E31" s="13">
        <f t="shared" si="2"/>
        <v>108.36459707913504</v>
      </c>
    </row>
    <row r="32" spans="1:12" s="107" customFormat="1" x14ac:dyDescent="0.3">
      <c r="A32" s="113" t="s">
        <v>31</v>
      </c>
      <c r="B32" s="114" t="s">
        <v>32</v>
      </c>
      <c r="C32" s="115"/>
      <c r="D32" s="189">
        <v>2591890.6532199997</v>
      </c>
      <c r="E32" s="13">
        <f t="shared" si="2"/>
        <v>0</v>
      </c>
    </row>
    <row r="33" spans="1:5" s="107" customFormat="1" x14ac:dyDescent="0.3">
      <c r="A33" s="113" t="s">
        <v>58</v>
      </c>
      <c r="B33" s="114" t="s">
        <v>152</v>
      </c>
      <c r="C33" s="115"/>
      <c r="D33" s="189">
        <v>210027.346089</v>
      </c>
      <c r="E33" s="13">
        <f t="shared" si="2"/>
        <v>0</v>
      </c>
    </row>
    <row r="34" spans="1:5" s="107" customFormat="1" x14ac:dyDescent="0.3">
      <c r="A34" s="113" t="s">
        <v>33</v>
      </c>
      <c r="B34" s="114" t="s">
        <v>490</v>
      </c>
      <c r="C34" s="115">
        <v>16100</v>
      </c>
      <c r="D34" s="115">
        <v>10712.187403999998</v>
      </c>
      <c r="E34" s="10">
        <f t="shared" si="2"/>
        <v>66.535325490683221</v>
      </c>
    </row>
    <row r="35" spans="1:5" s="107" customFormat="1" x14ac:dyDescent="0.3">
      <c r="A35" s="113" t="s">
        <v>34</v>
      </c>
      <c r="B35" s="114" t="s">
        <v>173</v>
      </c>
      <c r="C35" s="115">
        <f>C36+C37</f>
        <v>18000</v>
      </c>
      <c r="D35" s="115">
        <f>D36+D37</f>
        <v>18000</v>
      </c>
      <c r="E35" s="10">
        <f t="shared" si="2"/>
        <v>100</v>
      </c>
    </row>
    <row r="36" spans="1:5" hidden="1" outlineLevel="1" x14ac:dyDescent="0.3">
      <c r="A36" s="109">
        <v>1</v>
      </c>
      <c r="B36" s="110" t="s">
        <v>174</v>
      </c>
      <c r="C36" s="264">
        <v>18000</v>
      </c>
      <c r="D36" s="264"/>
      <c r="E36" s="13">
        <f t="shared" si="2"/>
        <v>0</v>
      </c>
    </row>
    <row r="37" spans="1:5" ht="31.2" hidden="1" outlineLevel="1" x14ac:dyDescent="0.3">
      <c r="A37" s="109">
        <v>2</v>
      </c>
      <c r="B37" s="110" t="s">
        <v>175</v>
      </c>
      <c r="C37" s="265"/>
      <c r="D37" s="265">
        <v>18000</v>
      </c>
      <c r="E37" s="13">
        <f t="shared" si="2"/>
        <v>0</v>
      </c>
    </row>
    <row r="38" spans="1:5" s="107" customFormat="1" collapsed="1" x14ac:dyDescent="0.3">
      <c r="A38" s="113" t="s">
        <v>180</v>
      </c>
      <c r="B38" s="114" t="s">
        <v>176</v>
      </c>
      <c r="C38" s="115">
        <f>C39+C40</f>
        <v>34100</v>
      </c>
      <c r="D38" s="115">
        <v>18271.922999999999</v>
      </c>
      <c r="E38" s="10">
        <f t="shared" si="2"/>
        <v>53.583351906158349</v>
      </c>
    </row>
    <row r="39" spans="1:5" hidden="1" outlineLevel="1" x14ac:dyDescent="0.3">
      <c r="A39" s="109">
        <v>1</v>
      </c>
      <c r="B39" s="110" t="s">
        <v>177</v>
      </c>
      <c r="C39" s="264">
        <v>16100</v>
      </c>
      <c r="D39" s="12"/>
      <c r="E39" s="13">
        <f t="shared" si="2"/>
        <v>0</v>
      </c>
    </row>
    <row r="40" spans="1:5" hidden="1" outlineLevel="1" x14ac:dyDescent="0.3">
      <c r="A40" s="109">
        <v>2</v>
      </c>
      <c r="B40" s="110" t="s">
        <v>178</v>
      </c>
      <c r="C40" s="264">
        <v>18000</v>
      </c>
      <c r="D40" s="12"/>
      <c r="E40" s="13">
        <f t="shared" si="2"/>
        <v>0</v>
      </c>
    </row>
    <row r="41" spans="1:5" s="107" customFormat="1" collapsed="1" x14ac:dyDescent="0.3">
      <c r="A41" s="117" t="s">
        <v>35</v>
      </c>
      <c r="B41" s="118" t="s">
        <v>179</v>
      </c>
      <c r="C41" s="119">
        <v>52867</v>
      </c>
      <c r="D41" s="119">
        <v>49026</v>
      </c>
      <c r="E41" s="120">
        <f t="shared" si="2"/>
        <v>92.73459814250856</v>
      </c>
    </row>
    <row r="42" spans="1:5" x14ac:dyDescent="0.3">
      <c r="A42" s="121"/>
      <c r="C42" s="19"/>
      <c r="D42" s="19"/>
    </row>
    <row r="43" spans="1:5" x14ac:dyDescent="0.3">
      <c r="C43" s="19"/>
      <c r="D43" s="19"/>
    </row>
  </sheetData>
  <mergeCells count="2">
    <mergeCell ref="A3:E3"/>
    <mergeCell ref="A4:E4"/>
  </mergeCells>
  <printOptions horizontalCentered="1"/>
  <pageMargins left="0.45" right="0"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5"/>
  <sheetViews>
    <sheetView zoomScale="85" zoomScaleNormal="85" workbookViewId="0">
      <pane xSplit="2" ySplit="8" topLeftCell="C9" activePane="bottomRight" state="frozen"/>
      <selection pane="topRight" activeCell="C1" sqref="C1"/>
      <selection pane="bottomLeft" activeCell="A9" sqref="A9"/>
      <selection pane="bottomRight" activeCell="F9" sqref="F9"/>
    </sheetView>
  </sheetViews>
  <sheetFormatPr defaultColWidth="9.109375" defaultRowHeight="15.6" outlineLevelRow="1" x14ac:dyDescent="0.3"/>
  <cols>
    <col min="1" max="1" width="5.88671875" style="18" customWidth="1"/>
    <col min="2" max="2" width="49" style="18" customWidth="1"/>
    <col min="3" max="3" width="12" style="18" customWidth="1"/>
    <col min="4" max="4" width="11.44140625" style="18" customWidth="1"/>
    <col min="5" max="5" width="11.88671875" style="16" customWidth="1"/>
    <col min="6" max="6" width="12.44140625" style="16" customWidth="1"/>
    <col min="7" max="7" width="9.88671875" style="18" customWidth="1"/>
    <col min="8" max="9" width="9.109375" style="18"/>
    <col min="10" max="10" width="18.44140625" style="19" customWidth="1"/>
    <col min="11" max="16384" width="9.109375" style="18"/>
  </cols>
  <sheetData>
    <row r="1" spans="1:10" x14ac:dyDescent="0.3">
      <c r="A1" s="25"/>
      <c r="C1" s="15"/>
      <c r="D1" s="15"/>
      <c r="F1" s="17" t="s">
        <v>36</v>
      </c>
      <c r="J1" s="18"/>
    </row>
    <row r="2" spans="1:10" ht="9" customHeight="1" x14ac:dyDescent="0.3">
      <c r="A2" s="26"/>
      <c r="J2" s="18"/>
    </row>
    <row r="3" spans="1:10" ht="16.8" x14ac:dyDescent="0.3">
      <c r="A3" s="284" t="s">
        <v>251</v>
      </c>
      <c r="B3" s="284"/>
      <c r="C3" s="284"/>
      <c r="D3" s="284"/>
      <c r="E3" s="284"/>
      <c r="F3" s="284"/>
      <c r="G3" s="284"/>
      <c r="H3" s="284"/>
      <c r="J3" s="18"/>
    </row>
    <row r="4" spans="1:10" x14ac:dyDescent="0.3">
      <c r="A4" s="285" t="s">
        <v>538</v>
      </c>
      <c r="B4" s="285"/>
      <c r="C4" s="285"/>
      <c r="D4" s="285"/>
      <c r="E4" s="285"/>
      <c r="F4" s="285"/>
      <c r="G4" s="285"/>
      <c r="H4" s="285"/>
      <c r="J4" s="18"/>
    </row>
    <row r="5" spans="1:10" x14ac:dyDescent="0.3">
      <c r="B5" s="7"/>
      <c r="C5" s="19"/>
      <c r="D5" s="19"/>
      <c r="E5" s="19"/>
      <c r="F5" s="19"/>
      <c r="G5" s="20" t="s">
        <v>1</v>
      </c>
      <c r="J5" s="18"/>
    </row>
    <row r="6" spans="1:10" s="122" customFormat="1" x14ac:dyDescent="0.3">
      <c r="A6" s="286" t="s">
        <v>2</v>
      </c>
      <c r="B6" s="286" t="s">
        <v>126</v>
      </c>
      <c r="C6" s="286" t="s">
        <v>110</v>
      </c>
      <c r="D6" s="286"/>
      <c r="E6" s="286" t="s">
        <v>111</v>
      </c>
      <c r="F6" s="286"/>
      <c r="G6" s="286" t="s">
        <v>112</v>
      </c>
      <c r="H6" s="286"/>
    </row>
    <row r="7" spans="1:10" s="122" customFormat="1" ht="36.6" customHeight="1" x14ac:dyDescent="0.3">
      <c r="A7" s="286"/>
      <c r="B7" s="286"/>
      <c r="C7" s="123" t="s">
        <v>182</v>
      </c>
      <c r="D7" s="123" t="s">
        <v>162</v>
      </c>
      <c r="E7" s="123" t="s">
        <v>182</v>
      </c>
      <c r="F7" s="123" t="s">
        <v>162</v>
      </c>
      <c r="G7" s="123" t="s">
        <v>182</v>
      </c>
      <c r="H7" s="123" t="s">
        <v>162</v>
      </c>
      <c r="I7" s="164"/>
    </row>
    <row r="8" spans="1:10" s="122" customFormat="1" x14ac:dyDescent="0.3">
      <c r="A8" s="266" t="s">
        <v>7</v>
      </c>
      <c r="B8" s="266" t="s">
        <v>8</v>
      </c>
      <c r="C8" s="266">
        <v>1</v>
      </c>
      <c r="D8" s="266">
        <v>2</v>
      </c>
      <c r="E8" s="266">
        <v>3</v>
      </c>
      <c r="F8" s="266">
        <v>4</v>
      </c>
      <c r="G8" s="266" t="s">
        <v>38</v>
      </c>
      <c r="H8" s="266" t="s">
        <v>39</v>
      </c>
    </row>
    <row r="9" spans="1:10" s="122" customFormat="1" ht="25.95" customHeight="1" x14ac:dyDescent="0.3">
      <c r="A9" s="124"/>
      <c r="B9" s="125" t="s">
        <v>183</v>
      </c>
      <c r="C9" s="126">
        <f>C10+C72+C74+C75</f>
        <v>3505000</v>
      </c>
      <c r="D9" s="126">
        <f>D10+D72+D74+D75</f>
        <v>2993150</v>
      </c>
      <c r="E9" s="126">
        <f>E10+E72+E74+E75</f>
        <v>5740073.027338</v>
      </c>
      <c r="F9" s="126">
        <f>F10+F72+F74+F75</f>
        <v>5211119.6173379999</v>
      </c>
      <c r="G9" s="127">
        <f>IFERROR(E9/C9,"")</f>
        <v>1.6376813202105565</v>
      </c>
      <c r="H9" s="127">
        <f>IFERROR(F9/D9,"")</f>
        <v>1.7410151904642266</v>
      </c>
      <c r="I9" s="128"/>
    </row>
    <row r="10" spans="1:10" s="130" customFormat="1" x14ac:dyDescent="0.3">
      <c r="A10" s="124" t="s">
        <v>7</v>
      </c>
      <c r="B10" s="125" t="s">
        <v>40</v>
      </c>
      <c r="C10" s="126">
        <f>C11+C64+C63+C71</f>
        <v>3505000</v>
      </c>
      <c r="D10" s="126">
        <f>D11+D64+D63+D71</f>
        <v>2993150</v>
      </c>
      <c r="E10" s="126">
        <f>E11+E64+E63+E71</f>
        <v>3031646.4154499997</v>
      </c>
      <c r="F10" s="126">
        <f>F11+F64+F63+F71</f>
        <v>2502693.0054499996</v>
      </c>
      <c r="G10" s="127">
        <f t="shared" ref="G10:H57" si="0">IFERROR(E10/C10,"")</f>
        <v>0.86494904863052779</v>
      </c>
      <c r="H10" s="127">
        <f t="shared" si="0"/>
        <v>0.83614018858059225</v>
      </c>
      <c r="I10" s="129"/>
    </row>
    <row r="11" spans="1:10" s="130" customFormat="1" x14ac:dyDescent="0.3">
      <c r="A11" s="124" t="s">
        <v>41</v>
      </c>
      <c r="B11" s="125" t="s">
        <v>42</v>
      </c>
      <c r="C11" s="126">
        <f>C12+C18+C24+C27+C34+C35+C38+C39+C44+C45+C46+C47+C48+C49+C51+C52+C53+C54+C57</f>
        <v>3235000</v>
      </c>
      <c r="D11" s="126">
        <f>D12+D18+D24+D27+D34+D35+D38+D39+D44+D45+D46+D47+D48+D49+D51+D52+D53+D54+D57</f>
        <v>2993150</v>
      </c>
      <c r="E11" s="126">
        <f>E12+E18+E24+E27+E34+E35+E38+E39+E44+E45+E46+E47+E48+E49+E51+E52+E53+E54+E57</f>
        <v>2759970.3054499999</v>
      </c>
      <c r="F11" s="126">
        <f>F12+1.3+F18+F24+F27+F34+F35+F38+F39+F44+F45+F46+F47+F48+F49+F51+F52+F53+F54+F57</f>
        <v>2502667.6054499997</v>
      </c>
      <c r="G11" s="127">
        <f t="shared" si="0"/>
        <v>0.85315929071097374</v>
      </c>
      <c r="H11" s="127">
        <f t="shared" si="0"/>
        <v>0.83613170253746039</v>
      </c>
    </row>
    <row r="12" spans="1:10" s="122" customFormat="1" x14ac:dyDescent="0.3">
      <c r="A12" s="124">
        <v>1</v>
      </c>
      <c r="B12" s="125" t="s">
        <v>499</v>
      </c>
      <c r="C12" s="126">
        <f>C13+C14+C15</f>
        <v>717200</v>
      </c>
      <c r="D12" s="126">
        <f>D13+D14+D15</f>
        <v>717200</v>
      </c>
      <c r="E12" s="126">
        <f>E13+E14+E15</f>
        <v>618739.67592999991</v>
      </c>
      <c r="F12" s="126">
        <f>F13+F14+F15</f>
        <v>618739.67592999991</v>
      </c>
      <c r="G12" s="127">
        <f t="shared" si="0"/>
        <v>0.86271566638315655</v>
      </c>
      <c r="H12" s="127">
        <f t="shared" si="0"/>
        <v>0.86271566638315655</v>
      </c>
    </row>
    <row r="13" spans="1:10" s="122" customFormat="1" x14ac:dyDescent="0.3">
      <c r="A13" s="131" t="s">
        <v>81</v>
      </c>
      <c r="B13" s="132" t="s">
        <v>184</v>
      </c>
      <c r="C13" s="133">
        <v>310200</v>
      </c>
      <c r="D13" s="133">
        <f>C13</f>
        <v>310200</v>
      </c>
      <c r="E13" s="133">
        <v>269678.99388199998</v>
      </c>
      <c r="F13" s="133">
        <f>E13</f>
        <v>269678.99388199998</v>
      </c>
      <c r="G13" s="134">
        <f t="shared" si="0"/>
        <v>0.8693713535847839</v>
      </c>
      <c r="H13" s="134">
        <f t="shared" si="0"/>
        <v>0.8693713535847839</v>
      </c>
    </row>
    <row r="14" spans="1:10" s="122" customFormat="1" x14ac:dyDescent="0.3">
      <c r="A14" s="131" t="s">
        <v>82</v>
      </c>
      <c r="B14" s="132" t="s">
        <v>185</v>
      </c>
      <c r="C14" s="133">
        <v>5000</v>
      </c>
      <c r="D14" s="133">
        <f>C14</f>
        <v>5000</v>
      </c>
      <c r="E14" s="133">
        <v>18225.937935999998</v>
      </c>
      <c r="F14" s="133">
        <f>E14</f>
        <v>18225.937935999998</v>
      </c>
      <c r="G14" s="134">
        <f t="shared" si="0"/>
        <v>3.6451875871999997</v>
      </c>
      <c r="H14" s="134">
        <f t="shared" si="0"/>
        <v>3.6451875871999997</v>
      </c>
    </row>
    <row r="15" spans="1:10" s="122" customFormat="1" x14ac:dyDescent="0.3">
      <c r="A15" s="131" t="s">
        <v>83</v>
      </c>
      <c r="B15" s="132" t="s">
        <v>186</v>
      </c>
      <c r="C15" s="133">
        <v>402000</v>
      </c>
      <c r="D15" s="133">
        <f>C15</f>
        <v>402000</v>
      </c>
      <c r="E15" s="133">
        <v>330834.74411199999</v>
      </c>
      <c r="F15" s="133">
        <f>E15</f>
        <v>330834.74411199999</v>
      </c>
      <c r="G15" s="134">
        <f t="shared" si="0"/>
        <v>0.82297200027860695</v>
      </c>
      <c r="H15" s="134">
        <f t="shared" si="0"/>
        <v>0.82297200027860695</v>
      </c>
    </row>
    <row r="16" spans="1:10" s="122" customFormat="1" hidden="1" outlineLevel="1" x14ac:dyDescent="0.3">
      <c r="A16" s="135" t="s">
        <v>148</v>
      </c>
      <c r="B16" s="132" t="s">
        <v>187</v>
      </c>
      <c r="C16" s="133">
        <v>401000</v>
      </c>
      <c r="D16" s="133">
        <f>C16</f>
        <v>401000</v>
      </c>
      <c r="E16" s="133"/>
      <c r="F16" s="133"/>
      <c r="G16" s="134">
        <f t="shared" si="0"/>
        <v>0</v>
      </c>
      <c r="H16" s="134">
        <f t="shared" si="0"/>
        <v>0</v>
      </c>
    </row>
    <row r="17" spans="1:8" s="122" customFormat="1" hidden="1" outlineLevel="1" x14ac:dyDescent="0.3">
      <c r="A17" s="135" t="s">
        <v>148</v>
      </c>
      <c r="B17" s="132" t="s">
        <v>188</v>
      </c>
      <c r="C17" s="133">
        <v>1000</v>
      </c>
      <c r="D17" s="133">
        <f>C17</f>
        <v>1000</v>
      </c>
      <c r="E17" s="133"/>
      <c r="F17" s="133"/>
      <c r="G17" s="134">
        <f t="shared" si="0"/>
        <v>0</v>
      </c>
      <c r="H17" s="134">
        <f t="shared" si="0"/>
        <v>0</v>
      </c>
    </row>
    <row r="18" spans="1:8" s="122" customFormat="1" collapsed="1" x14ac:dyDescent="0.3">
      <c r="A18" s="124">
        <v>2</v>
      </c>
      <c r="B18" s="125" t="s">
        <v>500</v>
      </c>
      <c r="C18" s="126">
        <f>C19+C20+C21</f>
        <v>26000</v>
      </c>
      <c r="D18" s="126">
        <f>D19+D20+D21</f>
        <v>26000</v>
      </c>
      <c r="E18" s="126">
        <f>E19+E20+E21</f>
        <v>36999.031671000004</v>
      </c>
      <c r="F18" s="126">
        <f>F19+F20+F21</f>
        <v>36999.031671000004</v>
      </c>
      <c r="G18" s="127">
        <f t="shared" si="0"/>
        <v>1.4230396796538463</v>
      </c>
      <c r="H18" s="127">
        <f t="shared" si="0"/>
        <v>1.4230396796538463</v>
      </c>
    </row>
    <row r="19" spans="1:8" s="122" customFormat="1" x14ac:dyDescent="0.3">
      <c r="A19" s="131" t="s">
        <v>144</v>
      </c>
      <c r="B19" s="132" t="s">
        <v>184</v>
      </c>
      <c r="C19" s="133">
        <v>18000</v>
      </c>
      <c r="D19" s="133">
        <f>C19</f>
        <v>18000</v>
      </c>
      <c r="E19" s="133">
        <v>26787.948428</v>
      </c>
      <c r="F19" s="133">
        <f>E19</f>
        <v>26787.948428</v>
      </c>
      <c r="G19" s="134">
        <f t="shared" si="0"/>
        <v>1.4882193571111111</v>
      </c>
      <c r="H19" s="134">
        <f t="shared" si="0"/>
        <v>1.4882193571111111</v>
      </c>
    </row>
    <row r="20" spans="1:8" s="122" customFormat="1" x14ac:dyDescent="0.3">
      <c r="A20" s="131" t="s">
        <v>145</v>
      </c>
      <c r="B20" s="132" t="s">
        <v>185</v>
      </c>
      <c r="C20" s="133">
        <v>7000</v>
      </c>
      <c r="D20" s="133">
        <f>C20</f>
        <v>7000</v>
      </c>
      <c r="E20" s="133">
        <v>8230.4016059999994</v>
      </c>
      <c r="F20" s="133">
        <f>E20</f>
        <v>8230.4016059999994</v>
      </c>
      <c r="G20" s="134">
        <f t="shared" si="0"/>
        <v>1.1757716579999999</v>
      </c>
      <c r="H20" s="134">
        <f t="shared" si="0"/>
        <v>1.1757716579999999</v>
      </c>
    </row>
    <row r="21" spans="1:8" s="122" customFormat="1" x14ac:dyDescent="0.3">
      <c r="A21" s="131" t="s">
        <v>146</v>
      </c>
      <c r="B21" s="132" t="s">
        <v>186</v>
      </c>
      <c r="C21" s="133">
        <v>1000</v>
      </c>
      <c r="D21" s="133">
        <f>C21</f>
        <v>1000</v>
      </c>
      <c r="E21" s="133">
        <v>1980.6816369999999</v>
      </c>
      <c r="F21" s="133">
        <f>E21</f>
        <v>1980.6816369999999</v>
      </c>
      <c r="G21" s="134">
        <f t="shared" si="0"/>
        <v>1.980681637</v>
      </c>
      <c r="H21" s="134">
        <f t="shared" si="0"/>
        <v>1.980681637</v>
      </c>
    </row>
    <row r="22" spans="1:8" s="122" customFormat="1" hidden="1" outlineLevel="1" x14ac:dyDescent="0.3">
      <c r="A22" s="135" t="s">
        <v>148</v>
      </c>
      <c r="B22" s="132" t="s">
        <v>189</v>
      </c>
      <c r="C22" s="133">
        <v>610</v>
      </c>
      <c r="D22" s="133">
        <f>C22</f>
        <v>610</v>
      </c>
      <c r="E22" s="133"/>
      <c r="F22" s="133"/>
      <c r="G22" s="134">
        <f t="shared" si="0"/>
        <v>0</v>
      </c>
      <c r="H22" s="134">
        <f t="shared" si="0"/>
        <v>0</v>
      </c>
    </row>
    <row r="23" spans="1:8" s="122" customFormat="1" hidden="1" outlineLevel="1" x14ac:dyDescent="0.3">
      <c r="A23" s="135" t="s">
        <v>148</v>
      </c>
      <c r="B23" s="132" t="s">
        <v>188</v>
      </c>
      <c r="C23" s="133">
        <v>390</v>
      </c>
      <c r="D23" s="133">
        <f>C23</f>
        <v>390</v>
      </c>
      <c r="E23" s="133"/>
      <c r="F23" s="133"/>
      <c r="G23" s="134">
        <f t="shared" si="0"/>
        <v>0</v>
      </c>
      <c r="H23" s="134">
        <f t="shared" si="0"/>
        <v>0</v>
      </c>
    </row>
    <row r="24" spans="1:8" s="122" customFormat="1" ht="31.2" collapsed="1" x14ac:dyDescent="0.3">
      <c r="A24" s="124">
        <v>3</v>
      </c>
      <c r="B24" s="125" t="s">
        <v>260</v>
      </c>
      <c r="C24" s="126">
        <f>C25+C26</f>
        <v>4000</v>
      </c>
      <c r="D24" s="126">
        <f>D25+D26</f>
        <v>4000</v>
      </c>
      <c r="E24" s="126">
        <f>E25+E26</f>
        <v>7768.5188360000002</v>
      </c>
      <c r="F24" s="126">
        <f>F25+F26</f>
        <v>7768.5188360000002</v>
      </c>
      <c r="G24" s="127">
        <f t="shared" si="0"/>
        <v>1.942129709</v>
      </c>
      <c r="H24" s="127">
        <f t="shared" si="0"/>
        <v>1.942129709</v>
      </c>
    </row>
    <row r="25" spans="1:8" s="122" customFormat="1" x14ac:dyDescent="0.3">
      <c r="A25" s="131" t="s">
        <v>149</v>
      </c>
      <c r="B25" s="132" t="s">
        <v>184</v>
      </c>
      <c r="C25" s="133">
        <v>2000</v>
      </c>
      <c r="D25" s="133">
        <f>C25</f>
        <v>2000</v>
      </c>
      <c r="E25" s="133">
        <v>3621.1057430000001</v>
      </c>
      <c r="F25" s="133">
        <f>E25</f>
        <v>3621.1057430000001</v>
      </c>
      <c r="G25" s="134">
        <f t="shared" si="0"/>
        <v>1.8105528715000001</v>
      </c>
      <c r="H25" s="134">
        <f t="shared" si="0"/>
        <v>1.8105528715000001</v>
      </c>
    </row>
    <row r="26" spans="1:8" s="122" customFormat="1" x14ac:dyDescent="0.3">
      <c r="A26" s="131" t="s">
        <v>150</v>
      </c>
      <c r="B26" s="132" t="s">
        <v>185</v>
      </c>
      <c r="C26" s="133">
        <v>2000</v>
      </c>
      <c r="D26" s="133">
        <f>C26</f>
        <v>2000</v>
      </c>
      <c r="E26" s="133">
        <v>4147.4130930000001</v>
      </c>
      <c r="F26" s="133">
        <f>E26</f>
        <v>4147.4130930000001</v>
      </c>
      <c r="G26" s="134">
        <f t="shared" si="0"/>
        <v>2.0737065465</v>
      </c>
      <c r="H26" s="134">
        <f t="shared" si="0"/>
        <v>2.0737065465</v>
      </c>
    </row>
    <row r="27" spans="1:8" s="122" customFormat="1" x14ac:dyDescent="0.3">
      <c r="A27" s="124">
        <v>4</v>
      </c>
      <c r="B27" s="125" t="s">
        <v>501</v>
      </c>
      <c r="C27" s="126">
        <f>C28+C29+C30+C31</f>
        <v>625000</v>
      </c>
      <c r="D27" s="126">
        <f>D28+D29+D30+D31</f>
        <v>625000</v>
      </c>
      <c r="E27" s="126">
        <f>E28+E29+E30+E31</f>
        <v>723095.18782500003</v>
      </c>
      <c r="F27" s="126">
        <f>F28+F29+F30+F31</f>
        <v>723095.18782500003</v>
      </c>
      <c r="G27" s="127">
        <f t="shared" si="0"/>
        <v>1.15695230052</v>
      </c>
      <c r="H27" s="127">
        <f t="shared" si="0"/>
        <v>1.15695230052</v>
      </c>
    </row>
    <row r="28" spans="1:8" s="122" customFormat="1" x14ac:dyDescent="0.3">
      <c r="A28" s="131" t="s">
        <v>190</v>
      </c>
      <c r="B28" s="132" t="s">
        <v>184</v>
      </c>
      <c r="C28" s="133">
        <v>450000</v>
      </c>
      <c r="D28" s="133">
        <f t="shared" ref="D28:D34" si="1">C28</f>
        <v>450000</v>
      </c>
      <c r="E28" s="133">
        <v>573848.19075800001</v>
      </c>
      <c r="F28" s="133">
        <f t="shared" ref="F28:F34" si="2">E28</f>
        <v>573848.19075800001</v>
      </c>
      <c r="G28" s="134">
        <f t="shared" si="0"/>
        <v>1.2752182016844444</v>
      </c>
      <c r="H28" s="134">
        <f t="shared" si="0"/>
        <v>1.2752182016844444</v>
      </c>
    </row>
    <row r="29" spans="1:8" s="122" customFormat="1" x14ac:dyDescent="0.3">
      <c r="A29" s="131" t="s">
        <v>191</v>
      </c>
      <c r="B29" s="132" t="s">
        <v>185</v>
      </c>
      <c r="C29" s="133">
        <v>29000</v>
      </c>
      <c r="D29" s="133">
        <f t="shared" si="1"/>
        <v>29000</v>
      </c>
      <c r="E29" s="133">
        <v>35187.696494000003</v>
      </c>
      <c r="F29" s="133">
        <f t="shared" si="2"/>
        <v>35187.696494000003</v>
      </c>
      <c r="G29" s="134">
        <f t="shared" si="0"/>
        <v>1.2133688446206898</v>
      </c>
      <c r="H29" s="134">
        <f t="shared" si="0"/>
        <v>1.2133688446206898</v>
      </c>
    </row>
    <row r="30" spans="1:8" s="122" customFormat="1" x14ac:dyDescent="0.3">
      <c r="A30" s="131" t="s">
        <v>192</v>
      </c>
      <c r="B30" s="132" t="s">
        <v>193</v>
      </c>
      <c r="C30" s="133">
        <v>2600</v>
      </c>
      <c r="D30" s="133">
        <f t="shared" si="1"/>
        <v>2600</v>
      </c>
      <c r="E30" s="133">
        <v>3811.2574490000002</v>
      </c>
      <c r="F30" s="133">
        <f t="shared" si="2"/>
        <v>3811.2574490000002</v>
      </c>
      <c r="G30" s="134">
        <f t="shared" si="0"/>
        <v>1.4658682496153848</v>
      </c>
      <c r="H30" s="134">
        <f t="shared" si="0"/>
        <v>1.4658682496153848</v>
      </c>
    </row>
    <row r="31" spans="1:8" s="122" customFormat="1" x14ac:dyDescent="0.3">
      <c r="A31" s="131" t="s">
        <v>194</v>
      </c>
      <c r="B31" s="132" t="s">
        <v>186</v>
      </c>
      <c r="C31" s="133">
        <v>143400</v>
      </c>
      <c r="D31" s="133">
        <f t="shared" si="1"/>
        <v>143400</v>
      </c>
      <c r="E31" s="133">
        <v>110248.043124</v>
      </c>
      <c r="F31" s="133">
        <f t="shared" si="2"/>
        <v>110248.043124</v>
      </c>
      <c r="G31" s="134">
        <f t="shared" si="0"/>
        <v>0.76881480560669457</v>
      </c>
      <c r="H31" s="134">
        <f t="shared" si="0"/>
        <v>0.76881480560669457</v>
      </c>
    </row>
    <row r="32" spans="1:8" s="122" customFormat="1" hidden="1" outlineLevel="1" x14ac:dyDescent="0.3">
      <c r="A32" s="135" t="s">
        <v>148</v>
      </c>
      <c r="B32" s="132" t="s">
        <v>187</v>
      </c>
      <c r="C32" s="133">
        <v>130305</v>
      </c>
      <c r="D32" s="133">
        <f t="shared" si="1"/>
        <v>130305</v>
      </c>
      <c r="E32" s="133"/>
      <c r="F32" s="133"/>
      <c r="G32" s="134"/>
      <c r="H32" s="134"/>
    </row>
    <row r="33" spans="1:8" s="122" customFormat="1" hidden="1" outlineLevel="1" x14ac:dyDescent="0.3">
      <c r="A33" s="135" t="s">
        <v>148</v>
      </c>
      <c r="B33" s="132" t="s">
        <v>188</v>
      </c>
      <c r="C33" s="133">
        <v>13095</v>
      </c>
      <c r="D33" s="133">
        <f t="shared" si="1"/>
        <v>13095</v>
      </c>
      <c r="E33" s="133"/>
      <c r="F33" s="133"/>
      <c r="G33" s="134"/>
      <c r="H33" s="134"/>
    </row>
    <row r="34" spans="1:8" s="122" customFormat="1" collapsed="1" x14ac:dyDescent="0.3">
      <c r="A34" s="124">
        <v>5</v>
      </c>
      <c r="B34" s="125" t="s">
        <v>43</v>
      </c>
      <c r="C34" s="126">
        <v>111000</v>
      </c>
      <c r="D34" s="126">
        <f t="shared" si="1"/>
        <v>111000</v>
      </c>
      <c r="E34" s="126">
        <v>90035.091187999991</v>
      </c>
      <c r="F34" s="126">
        <f t="shared" si="2"/>
        <v>90035.091187999991</v>
      </c>
      <c r="G34" s="127">
        <f t="shared" si="0"/>
        <v>0.81112694763963955</v>
      </c>
      <c r="H34" s="127">
        <f t="shared" si="0"/>
        <v>0.81112694763963955</v>
      </c>
    </row>
    <row r="35" spans="1:8" s="122" customFormat="1" x14ac:dyDescent="0.3">
      <c r="A35" s="124">
        <v>6</v>
      </c>
      <c r="B35" s="125" t="s">
        <v>44</v>
      </c>
      <c r="C35" s="126">
        <f>C36+C37</f>
        <v>260000</v>
      </c>
      <c r="D35" s="126">
        <f>D36+D37</f>
        <v>97000</v>
      </c>
      <c r="E35" s="126">
        <v>265136</v>
      </c>
      <c r="F35" s="126">
        <v>98630</v>
      </c>
      <c r="G35" s="127">
        <f t="shared" si="0"/>
        <v>1.0197538461538462</v>
      </c>
      <c r="H35" s="127">
        <f t="shared" si="0"/>
        <v>1.0168041237113401</v>
      </c>
    </row>
    <row r="36" spans="1:8" s="140" customFormat="1" ht="31.2" x14ac:dyDescent="0.3">
      <c r="A36" s="136" t="s">
        <v>12</v>
      </c>
      <c r="B36" s="137" t="s">
        <v>261</v>
      </c>
      <c r="C36" s="138">
        <v>97000</v>
      </c>
      <c r="D36" s="138">
        <f>C36</f>
        <v>97000</v>
      </c>
      <c r="E36" s="138">
        <v>75701</v>
      </c>
      <c r="F36" s="138">
        <v>75107</v>
      </c>
      <c r="G36" s="139">
        <f t="shared" si="0"/>
        <v>0.78042268041237117</v>
      </c>
      <c r="H36" s="139">
        <f t="shared" si="0"/>
        <v>0.774298969072165</v>
      </c>
    </row>
    <row r="37" spans="1:8" s="140" customFormat="1" ht="31.2" x14ac:dyDescent="0.3">
      <c r="A37" s="136" t="s">
        <v>12</v>
      </c>
      <c r="B37" s="137" t="s">
        <v>262</v>
      </c>
      <c r="C37" s="138">
        <v>163000</v>
      </c>
      <c r="D37" s="138"/>
      <c r="E37" s="138">
        <v>126795</v>
      </c>
      <c r="F37" s="138"/>
      <c r="G37" s="139">
        <f t="shared" si="0"/>
        <v>0.77788343558282214</v>
      </c>
      <c r="H37" s="139" t="str">
        <f t="shared" si="0"/>
        <v/>
      </c>
    </row>
    <row r="38" spans="1:8" s="122" customFormat="1" x14ac:dyDescent="0.3">
      <c r="A38" s="124">
        <v>7</v>
      </c>
      <c r="B38" s="125" t="s">
        <v>45</v>
      </c>
      <c r="C38" s="126">
        <v>86000</v>
      </c>
      <c r="D38" s="126">
        <f>C38</f>
        <v>86000</v>
      </c>
      <c r="E38" s="126">
        <v>87863</v>
      </c>
      <c r="F38" s="126">
        <f>E38</f>
        <v>87863</v>
      </c>
      <c r="G38" s="127">
        <f t="shared" si="0"/>
        <v>1.0216627906976745</v>
      </c>
      <c r="H38" s="127">
        <f t="shared" si="0"/>
        <v>1.0216627906976745</v>
      </c>
    </row>
    <row r="39" spans="1:8" s="122" customFormat="1" x14ac:dyDescent="0.3">
      <c r="A39" s="124">
        <v>8</v>
      </c>
      <c r="B39" s="125" t="s">
        <v>195</v>
      </c>
      <c r="C39" s="126">
        <f>SUM(C40:C43)</f>
        <v>50000</v>
      </c>
      <c r="D39" s="126">
        <f>SUM(D40:D43)</f>
        <v>45000</v>
      </c>
      <c r="E39" s="126">
        <f>SUM(E40:E43)</f>
        <v>52632.800000000003</v>
      </c>
      <c r="F39" s="126">
        <f>SUM(F40:F43)</f>
        <v>42369.8</v>
      </c>
      <c r="G39" s="127">
        <f t="shared" si="0"/>
        <v>1.052656</v>
      </c>
      <c r="H39" s="127">
        <f t="shared" si="0"/>
        <v>0.94155111111111123</v>
      </c>
    </row>
    <row r="40" spans="1:8" s="140" customFormat="1" x14ac:dyDescent="0.3">
      <c r="A40" s="136" t="s">
        <v>12</v>
      </c>
      <c r="B40" s="137" t="s">
        <v>196</v>
      </c>
      <c r="C40" s="138">
        <v>5000</v>
      </c>
      <c r="D40" s="138"/>
      <c r="E40" s="138">
        <v>10562</v>
      </c>
      <c r="F40" s="138">
        <v>299</v>
      </c>
      <c r="G40" s="139">
        <f t="shared" si="0"/>
        <v>2.1124000000000001</v>
      </c>
      <c r="H40" s="139" t="str">
        <f t="shared" si="0"/>
        <v/>
      </c>
    </row>
    <row r="41" spans="1:8" s="140" customFormat="1" x14ac:dyDescent="0.3">
      <c r="A41" s="136" t="s">
        <v>12</v>
      </c>
      <c r="B41" s="137" t="s">
        <v>197</v>
      </c>
      <c r="C41" s="138">
        <v>18905</v>
      </c>
      <c r="D41" s="138">
        <f>C41</f>
        <v>18905</v>
      </c>
      <c r="E41" s="138">
        <v>25754.400000000001</v>
      </c>
      <c r="F41" s="138">
        <f>E41</f>
        <v>25754.400000000001</v>
      </c>
      <c r="G41" s="139">
        <f t="shared" si="0"/>
        <v>1.3623062681830205</v>
      </c>
      <c r="H41" s="139">
        <f t="shared" si="0"/>
        <v>1.3623062681830205</v>
      </c>
    </row>
    <row r="42" spans="1:8" s="140" customFormat="1" x14ac:dyDescent="0.3">
      <c r="A42" s="136" t="s">
        <v>12</v>
      </c>
      <c r="B42" s="137" t="s">
        <v>198</v>
      </c>
      <c r="C42" s="138">
        <v>26095</v>
      </c>
      <c r="D42" s="138">
        <f>C42</f>
        <v>26095</v>
      </c>
      <c r="E42" s="138">
        <v>12673</v>
      </c>
      <c r="F42" s="138">
        <f t="shared" ref="F42:F49" si="3">E42</f>
        <v>12673</v>
      </c>
      <c r="G42" s="139">
        <f t="shared" si="0"/>
        <v>0.48564859168423069</v>
      </c>
      <c r="H42" s="139">
        <f t="shared" si="0"/>
        <v>0.48564859168423069</v>
      </c>
    </row>
    <row r="43" spans="1:8" s="140" customFormat="1" x14ac:dyDescent="0.3">
      <c r="A43" s="136" t="s">
        <v>12</v>
      </c>
      <c r="B43" s="137" t="s">
        <v>199</v>
      </c>
      <c r="C43" s="138"/>
      <c r="D43" s="138"/>
      <c r="E43" s="138">
        <v>3643.4</v>
      </c>
      <c r="F43" s="138">
        <f t="shared" si="3"/>
        <v>3643.4</v>
      </c>
      <c r="G43" s="139" t="str">
        <f t="shared" si="0"/>
        <v/>
      </c>
      <c r="H43" s="139" t="str">
        <f t="shared" si="0"/>
        <v/>
      </c>
    </row>
    <row r="44" spans="1:8" s="122" customFormat="1" x14ac:dyDescent="0.3">
      <c r="A44" s="124">
        <v>9</v>
      </c>
      <c r="B44" s="125" t="s">
        <v>46</v>
      </c>
      <c r="C44" s="126">
        <v>200</v>
      </c>
      <c r="D44" s="126">
        <f>C44</f>
        <v>200</v>
      </c>
      <c r="E44" s="126">
        <v>417</v>
      </c>
      <c r="F44" s="126">
        <f t="shared" si="3"/>
        <v>417</v>
      </c>
      <c r="G44" s="127">
        <f t="shared" si="0"/>
        <v>2.085</v>
      </c>
      <c r="H44" s="127">
        <f t="shared" si="0"/>
        <v>2.085</v>
      </c>
    </row>
    <row r="45" spans="1:8" s="122" customFormat="1" x14ac:dyDescent="0.3">
      <c r="A45" s="124">
        <v>10</v>
      </c>
      <c r="B45" s="125" t="s">
        <v>47</v>
      </c>
      <c r="C45" s="126">
        <v>3600</v>
      </c>
      <c r="D45" s="126">
        <f>C45</f>
        <v>3600</v>
      </c>
      <c r="E45" s="126">
        <v>3175</v>
      </c>
      <c r="F45" s="126">
        <f t="shared" si="3"/>
        <v>3175</v>
      </c>
      <c r="G45" s="127">
        <f t="shared" si="0"/>
        <v>0.88194444444444442</v>
      </c>
      <c r="H45" s="127">
        <f t="shared" si="0"/>
        <v>0.88194444444444442</v>
      </c>
    </row>
    <row r="46" spans="1:8" s="122" customFormat="1" x14ac:dyDescent="0.3">
      <c r="A46" s="124">
        <v>11</v>
      </c>
      <c r="B46" s="125" t="s">
        <v>48</v>
      </c>
      <c r="C46" s="126">
        <v>20000</v>
      </c>
      <c r="D46" s="126">
        <f>C46</f>
        <v>20000</v>
      </c>
      <c r="E46" s="126">
        <f>85740-E60</f>
        <v>69646</v>
      </c>
      <c r="F46" s="126">
        <f>E46</f>
        <v>69646</v>
      </c>
      <c r="G46" s="127">
        <f t="shared" si="0"/>
        <v>3.4823</v>
      </c>
      <c r="H46" s="127">
        <f t="shared" si="0"/>
        <v>3.4823</v>
      </c>
    </row>
    <row r="47" spans="1:8" s="122" customFormat="1" x14ac:dyDescent="0.3">
      <c r="A47" s="124">
        <v>12</v>
      </c>
      <c r="B47" s="125" t="s">
        <v>49</v>
      </c>
      <c r="C47" s="126">
        <v>200000</v>
      </c>
      <c r="D47" s="126">
        <f>C47</f>
        <v>200000</v>
      </c>
      <c r="E47" s="126">
        <f>516113-E59-E61</f>
        <v>279649</v>
      </c>
      <c r="F47" s="126">
        <f>E47</f>
        <v>279649</v>
      </c>
      <c r="G47" s="127">
        <f t="shared" si="0"/>
        <v>1.398245</v>
      </c>
      <c r="H47" s="127">
        <f t="shared" si="0"/>
        <v>1.398245</v>
      </c>
    </row>
    <row r="48" spans="1:8" s="122" customFormat="1" ht="31.2" x14ac:dyDescent="0.3">
      <c r="A48" s="124">
        <v>13</v>
      </c>
      <c r="B48" s="125" t="s">
        <v>50</v>
      </c>
      <c r="C48" s="126"/>
      <c r="D48" s="126"/>
      <c r="E48" s="126">
        <v>332</v>
      </c>
      <c r="F48" s="126">
        <f t="shared" si="3"/>
        <v>332</v>
      </c>
      <c r="G48" s="127" t="str">
        <f t="shared" si="0"/>
        <v/>
      </c>
      <c r="H48" s="127" t="str">
        <f t="shared" si="0"/>
        <v/>
      </c>
    </row>
    <row r="49" spans="1:8" s="122" customFormat="1" x14ac:dyDescent="0.3">
      <c r="A49" s="124">
        <v>14</v>
      </c>
      <c r="B49" s="125" t="s">
        <v>200</v>
      </c>
      <c r="C49" s="126">
        <v>85000</v>
      </c>
      <c r="D49" s="126">
        <f>C49</f>
        <v>85000</v>
      </c>
      <c r="E49" s="126">
        <v>88008</v>
      </c>
      <c r="F49" s="126">
        <f t="shared" si="3"/>
        <v>88008</v>
      </c>
      <c r="G49" s="127">
        <f t="shared" si="0"/>
        <v>1.0353882352941177</v>
      </c>
      <c r="H49" s="127">
        <f t="shared" si="0"/>
        <v>1.0353882352941177</v>
      </c>
    </row>
    <row r="50" spans="1:8" s="122" customFormat="1" x14ac:dyDescent="0.3">
      <c r="A50" s="125"/>
      <c r="B50" s="125" t="s">
        <v>263</v>
      </c>
      <c r="C50" s="141"/>
      <c r="D50" s="141"/>
      <c r="E50" s="141"/>
      <c r="F50" s="141"/>
      <c r="G50" s="127" t="str">
        <f t="shared" si="0"/>
        <v/>
      </c>
      <c r="H50" s="127" t="str">
        <f t="shared" si="0"/>
        <v/>
      </c>
    </row>
    <row r="51" spans="1:8" s="122" customFormat="1" x14ac:dyDescent="0.3">
      <c r="A51" s="124">
        <v>15</v>
      </c>
      <c r="B51" s="125" t="s">
        <v>51</v>
      </c>
      <c r="C51" s="126">
        <v>85000</v>
      </c>
      <c r="D51" s="126">
        <v>32150</v>
      </c>
      <c r="E51" s="126">
        <v>83232</v>
      </c>
      <c r="F51" s="126">
        <v>32909</v>
      </c>
      <c r="G51" s="127">
        <f t="shared" si="0"/>
        <v>0.97919999999999996</v>
      </c>
      <c r="H51" s="127">
        <f t="shared" si="0"/>
        <v>1.0236080870917574</v>
      </c>
    </row>
    <row r="52" spans="1:8" s="122" customFormat="1" x14ac:dyDescent="0.3">
      <c r="A52" s="124">
        <v>16</v>
      </c>
      <c r="B52" s="125" t="s">
        <v>52</v>
      </c>
      <c r="C52" s="126">
        <v>60000</v>
      </c>
      <c r="D52" s="126">
        <v>39000</v>
      </c>
      <c r="E52" s="126">
        <f>97284-E62</f>
        <v>96599</v>
      </c>
      <c r="F52" s="126">
        <f>67072-F62</f>
        <v>66387</v>
      </c>
      <c r="G52" s="127">
        <f t="shared" si="0"/>
        <v>1.6099833333333333</v>
      </c>
      <c r="H52" s="127">
        <f t="shared" si="0"/>
        <v>1.7022307692307692</v>
      </c>
    </row>
    <row r="53" spans="1:8" s="122" customFormat="1" x14ac:dyDescent="0.3">
      <c r="A53" s="124">
        <v>17</v>
      </c>
      <c r="B53" s="125" t="s">
        <v>53</v>
      </c>
      <c r="C53" s="126">
        <v>2000</v>
      </c>
      <c r="D53" s="126">
        <f>C53</f>
        <v>2000</v>
      </c>
      <c r="E53" s="126">
        <v>1475</v>
      </c>
      <c r="F53" s="126">
        <f>E53</f>
        <v>1475</v>
      </c>
      <c r="G53" s="127">
        <f t="shared" si="0"/>
        <v>0.73750000000000004</v>
      </c>
      <c r="H53" s="127">
        <f t="shared" si="0"/>
        <v>0.73750000000000004</v>
      </c>
    </row>
    <row r="54" spans="1:8" s="122" customFormat="1" x14ac:dyDescent="0.3">
      <c r="A54" s="124">
        <v>18</v>
      </c>
      <c r="B54" s="125" t="s">
        <v>498</v>
      </c>
      <c r="C54" s="126">
        <v>2000</v>
      </c>
      <c r="D54" s="126">
        <f>C54</f>
        <v>2000</v>
      </c>
      <c r="E54" s="126">
        <v>1925</v>
      </c>
      <c r="F54" s="126">
        <f>E54</f>
        <v>1925</v>
      </c>
      <c r="G54" s="127">
        <f t="shared" si="0"/>
        <v>0.96250000000000002</v>
      </c>
      <c r="H54" s="127">
        <f t="shared" si="0"/>
        <v>0.96250000000000002</v>
      </c>
    </row>
    <row r="55" spans="1:8" s="122" customFormat="1" ht="46.8" x14ac:dyDescent="0.3">
      <c r="A55" s="124">
        <v>19</v>
      </c>
      <c r="B55" s="125" t="s">
        <v>502</v>
      </c>
      <c r="C55" s="126"/>
      <c r="D55" s="126"/>
      <c r="E55" s="126"/>
      <c r="F55" s="126"/>
      <c r="G55" s="127" t="str">
        <f t="shared" si="0"/>
        <v/>
      </c>
      <c r="H55" s="127" t="str">
        <f t="shared" si="0"/>
        <v/>
      </c>
    </row>
    <row r="56" spans="1:8" s="122" customFormat="1" x14ac:dyDescent="0.3">
      <c r="A56" s="124">
        <v>20</v>
      </c>
      <c r="B56" s="125" t="s">
        <v>503</v>
      </c>
      <c r="C56" s="126"/>
      <c r="D56" s="126"/>
      <c r="E56" s="126"/>
      <c r="F56" s="126"/>
      <c r="G56" s="127" t="str">
        <f t="shared" si="0"/>
        <v/>
      </c>
      <c r="H56" s="127" t="str">
        <f t="shared" si="0"/>
        <v/>
      </c>
    </row>
    <row r="57" spans="1:8" s="122" customFormat="1" ht="46.8" x14ac:dyDescent="0.3">
      <c r="A57" s="124">
        <v>21</v>
      </c>
      <c r="B57" s="125" t="s">
        <v>264</v>
      </c>
      <c r="C57" s="126">
        <v>898000</v>
      </c>
      <c r="D57" s="126">
        <f>C57</f>
        <v>898000</v>
      </c>
      <c r="E57" s="126">
        <f>E59+E61+E60+E62</f>
        <v>253243</v>
      </c>
      <c r="F57" s="126">
        <f>F59+F60+F61+F62</f>
        <v>253243</v>
      </c>
      <c r="G57" s="127">
        <f t="shared" si="0"/>
        <v>0.28200779510022272</v>
      </c>
      <c r="H57" s="127">
        <f t="shared" si="0"/>
        <v>0.28200779510022272</v>
      </c>
    </row>
    <row r="58" spans="1:8" s="122" customFormat="1" hidden="1" outlineLevel="1" x14ac:dyDescent="0.3">
      <c r="A58" s="136" t="s">
        <v>265</v>
      </c>
      <c r="B58" s="137" t="s">
        <v>74</v>
      </c>
      <c r="C58" s="138"/>
      <c r="D58" s="138"/>
      <c r="E58" s="138"/>
      <c r="F58" s="138"/>
      <c r="G58" s="127" t="str">
        <f t="shared" ref="G58:G68" si="4">IFERROR(E58/C58,"")</f>
        <v/>
      </c>
      <c r="H58" s="127" t="str">
        <f t="shared" ref="H58:H68" si="5">IFERROR(F58/D58,"")</f>
        <v/>
      </c>
    </row>
    <row r="59" spans="1:8" s="130" customFormat="1" ht="31.2" hidden="1" outlineLevel="1" x14ac:dyDescent="0.3">
      <c r="A59" s="142" t="s">
        <v>12</v>
      </c>
      <c r="B59" s="137" t="s">
        <v>266</v>
      </c>
      <c r="C59" s="138"/>
      <c r="D59" s="138"/>
      <c r="E59" s="138">
        <v>48627</v>
      </c>
      <c r="F59" s="138">
        <f>E59</f>
        <v>48627</v>
      </c>
      <c r="G59" s="127" t="str">
        <f t="shared" si="4"/>
        <v/>
      </c>
      <c r="H59" s="127" t="str">
        <f t="shared" si="5"/>
        <v/>
      </c>
    </row>
    <row r="60" spans="1:8" s="130" customFormat="1" ht="31.2" hidden="1" outlineLevel="1" x14ac:dyDescent="0.3">
      <c r="A60" s="143" t="s">
        <v>12</v>
      </c>
      <c r="B60" s="137" t="s">
        <v>267</v>
      </c>
      <c r="C60" s="126"/>
      <c r="D60" s="126"/>
      <c r="E60" s="138">
        <v>16094</v>
      </c>
      <c r="F60" s="138">
        <f>E60</f>
        <v>16094</v>
      </c>
      <c r="G60" s="127" t="str">
        <f t="shared" si="4"/>
        <v/>
      </c>
      <c r="H60" s="127" t="str">
        <f t="shared" si="5"/>
        <v/>
      </c>
    </row>
    <row r="61" spans="1:8" s="130" customFormat="1" ht="31.2" hidden="1" outlineLevel="1" x14ac:dyDescent="0.3">
      <c r="A61" s="142" t="s">
        <v>12</v>
      </c>
      <c r="B61" s="137" t="s">
        <v>268</v>
      </c>
      <c r="C61" s="138"/>
      <c r="D61" s="138"/>
      <c r="E61" s="138">
        <v>187837</v>
      </c>
      <c r="F61" s="138">
        <f>E61</f>
        <v>187837</v>
      </c>
      <c r="G61" s="127" t="str">
        <f t="shared" si="4"/>
        <v/>
      </c>
      <c r="H61" s="127" t="str">
        <f t="shared" si="5"/>
        <v/>
      </c>
    </row>
    <row r="62" spans="1:8" s="130" customFormat="1" ht="31.2" hidden="1" outlineLevel="1" x14ac:dyDescent="0.3">
      <c r="A62" s="124"/>
      <c r="B62" s="137" t="s">
        <v>269</v>
      </c>
      <c r="C62" s="126"/>
      <c r="D62" s="126"/>
      <c r="E62" s="138">
        <v>685</v>
      </c>
      <c r="F62" s="138">
        <v>685</v>
      </c>
      <c r="G62" s="127" t="str">
        <f t="shared" si="4"/>
        <v/>
      </c>
      <c r="H62" s="127" t="str">
        <f t="shared" si="5"/>
        <v/>
      </c>
    </row>
    <row r="63" spans="1:8" collapsed="1" x14ac:dyDescent="0.3">
      <c r="A63" s="124" t="s">
        <v>27</v>
      </c>
      <c r="B63" s="125" t="s">
        <v>54</v>
      </c>
      <c r="C63" s="133"/>
      <c r="D63" s="133"/>
      <c r="E63" s="133"/>
      <c r="F63" s="133"/>
      <c r="G63" s="127" t="str">
        <f t="shared" si="4"/>
        <v/>
      </c>
      <c r="H63" s="127" t="str">
        <f t="shared" si="5"/>
        <v/>
      </c>
    </row>
    <row r="64" spans="1:8" x14ac:dyDescent="0.3">
      <c r="A64" s="124" t="s">
        <v>31</v>
      </c>
      <c r="B64" s="125" t="s">
        <v>201</v>
      </c>
      <c r="C64" s="126">
        <f>SUM(C65:C70)</f>
        <v>270000</v>
      </c>
      <c r="D64" s="126">
        <f>SUM(D65:D70)</f>
        <v>0</v>
      </c>
      <c r="E64" s="126">
        <f>SUM(E65:E70)</f>
        <v>271650.71000000002</v>
      </c>
      <c r="F64" s="126">
        <f>SUM(F65:F70)</f>
        <v>0</v>
      </c>
      <c r="G64" s="127">
        <f t="shared" si="4"/>
        <v>1.0061137407407408</v>
      </c>
      <c r="H64" s="127" t="str">
        <f t="shared" si="5"/>
        <v/>
      </c>
    </row>
    <row r="65" spans="1:8" x14ac:dyDescent="0.3">
      <c r="A65" s="131">
        <v>1</v>
      </c>
      <c r="B65" s="132" t="s">
        <v>55</v>
      </c>
      <c r="C65" s="133">
        <v>3500</v>
      </c>
      <c r="D65" s="133"/>
      <c r="E65" s="133">
        <v>3708.7</v>
      </c>
      <c r="F65" s="133"/>
      <c r="G65" s="134">
        <f t="shared" si="4"/>
        <v>1.0596285714285714</v>
      </c>
      <c r="H65" s="127" t="str">
        <f t="shared" si="5"/>
        <v/>
      </c>
    </row>
    <row r="66" spans="1:8" x14ac:dyDescent="0.3">
      <c r="A66" s="131">
        <v>2</v>
      </c>
      <c r="B66" s="132" t="s">
        <v>56</v>
      </c>
      <c r="C66" s="133">
        <v>4000</v>
      </c>
      <c r="D66" s="133"/>
      <c r="E66" s="133">
        <v>604.41800000000001</v>
      </c>
      <c r="F66" s="133"/>
      <c r="G66" s="134">
        <f t="shared" si="4"/>
        <v>0.1511045</v>
      </c>
      <c r="H66" s="127" t="str">
        <f t="shared" si="5"/>
        <v/>
      </c>
    </row>
    <row r="67" spans="1:8" x14ac:dyDescent="0.3">
      <c r="A67" s="131">
        <v>3</v>
      </c>
      <c r="B67" s="132" t="s">
        <v>181</v>
      </c>
      <c r="C67" s="133"/>
      <c r="D67" s="133"/>
      <c r="E67" s="133">
        <v>84.614999999999995</v>
      </c>
      <c r="F67" s="133"/>
      <c r="G67" s="127" t="str">
        <f t="shared" si="4"/>
        <v/>
      </c>
      <c r="H67" s="127" t="str">
        <f t="shared" si="5"/>
        <v/>
      </c>
    </row>
    <row r="68" spans="1:8" x14ac:dyDescent="0.3">
      <c r="A68" s="131">
        <v>4</v>
      </c>
      <c r="B68" s="132" t="s">
        <v>202</v>
      </c>
      <c r="C68" s="133"/>
      <c r="D68" s="133"/>
      <c r="E68" s="133">
        <v>5.76</v>
      </c>
      <c r="F68" s="133"/>
      <c r="G68" s="127" t="str">
        <f t="shared" si="4"/>
        <v/>
      </c>
      <c r="H68" s="127" t="str">
        <f t="shared" si="5"/>
        <v/>
      </c>
    </row>
    <row r="69" spans="1:8" x14ac:dyDescent="0.3">
      <c r="A69" s="131">
        <v>5</v>
      </c>
      <c r="B69" s="132" t="s">
        <v>203</v>
      </c>
      <c r="C69" s="133">
        <v>262500</v>
      </c>
      <c r="D69" s="133"/>
      <c r="E69" s="133">
        <v>266868</v>
      </c>
      <c r="F69" s="133"/>
      <c r="G69" s="134">
        <f t="shared" ref="G69:G75" si="6">IFERROR(E69/C69,"")</f>
        <v>1.01664</v>
      </c>
      <c r="H69" s="127" t="str">
        <f t="shared" ref="H69:H75" si="7">IFERROR(F69/D69,"")</f>
        <v/>
      </c>
    </row>
    <row r="70" spans="1:8" x14ac:dyDescent="0.3">
      <c r="A70" s="131">
        <v>6</v>
      </c>
      <c r="B70" s="132" t="s">
        <v>57</v>
      </c>
      <c r="C70" s="133"/>
      <c r="D70" s="133"/>
      <c r="E70" s="133">
        <v>379.21699999999998</v>
      </c>
      <c r="F70" s="133"/>
      <c r="G70" s="127" t="str">
        <f t="shared" si="6"/>
        <v/>
      </c>
      <c r="H70" s="127" t="str">
        <f t="shared" si="7"/>
        <v/>
      </c>
    </row>
    <row r="71" spans="1:8" x14ac:dyDescent="0.3">
      <c r="A71" s="124" t="s">
        <v>58</v>
      </c>
      <c r="B71" s="125" t="s">
        <v>204</v>
      </c>
      <c r="C71" s="126"/>
      <c r="D71" s="126"/>
      <c r="E71" s="126">
        <v>25.4</v>
      </c>
      <c r="F71" s="126">
        <f>E71</f>
        <v>25.4</v>
      </c>
      <c r="G71" s="127" t="str">
        <f t="shared" si="6"/>
        <v/>
      </c>
      <c r="H71" s="127" t="str">
        <f t="shared" si="7"/>
        <v/>
      </c>
    </row>
    <row r="72" spans="1:8" x14ac:dyDescent="0.3">
      <c r="A72" s="124" t="s">
        <v>8</v>
      </c>
      <c r="B72" s="125" t="s">
        <v>270</v>
      </c>
      <c r="C72" s="133"/>
      <c r="D72" s="133"/>
      <c r="E72" s="126">
        <v>18271.922999999999</v>
      </c>
      <c r="F72" s="126">
        <f>E72</f>
        <v>18271.922999999999</v>
      </c>
      <c r="G72" s="127" t="str">
        <f t="shared" si="6"/>
        <v/>
      </c>
      <c r="H72" s="127" t="str">
        <f t="shared" si="7"/>
        <v/>
      </c>
    </row>
    <row r="73" spans="1:8" x14ac:dyDescent="0.3">
      <c r="A73" s="124"/>
      <c r="B73" s="144" t="s">
        <v>271</v>
      </c>
      <c r="C73" s="133"/>
      <c r="D73" s="133"/>
      <c r="E73" s="133">
        <v>18271.922999999999</v>
      </c>
      <c r="F73" s="133">
        <f>E73</f>
        <v>18271.922999999999</v>
      </c>
      <c r="G73" s="127" t="str">
        <f t="shared" si="6"/>
        <v/>
      </c>
      <c r="H73" s="127" t="str">
        <f t="shared" si="7"/>
        <v/>
      </c>
    </row>
    <row r="74" spans="1:8" x14ac:dyDescent="0.3">
      <c r="A74" s="124" t="s">
        <v>33</v>
      </c>
      <c r="B74" s="125" t="s">
        <v>59</v>
      </c>
      <c r="C74" s="126"/>
      <c r="D74" s="126"/>
      <c r="E74" s="126">
        <v>106080.350489</v>
      </c>
      <c r="F74" s="126">
        <f>E74</f>
        <v>106080.350489</v>
      </c>
      <c r="G74" s="127" t="str">
        <f t="shared" si="6"/>
        <v/>
      </c>
      <c r="H74" s="127" t="str">
        <f t="shared" si="7"/>
        <v/>
      </c>
    </row>
    <row r="75" spans="1:8" ht="31.2" x14ac:dyDescent="0.3">
      <c r="A75" s="145" t="s">
        <v>34</v>
      </c>
      <c r="B75" s="146" t="s">
        <v>60</v>
      </c>
      <c r="C75" s="147"/>
      <c r="D75" s="147"/>
      <c r="E75" s="147">
        <v>2584074.338399</v>
      </c>
      <c r="F75" s="147">
        <f>E75</f>
        <v>2584074.338399</v>
      </c>
      <c r="G75" s="148" t="str">
        <f t="shared" si="6"/>
        <v/>
      </c>
      <c r="H75" s="148" t="str">
        <f t="shared" si="7"/>
        <v/>
      </c>
    </row>
  </sheetData>
  <mergeCells count="7">
    <mergeCell ref="A3:H3"/>
    <mergeCell ref="A4:H4"/>
    <mergeCell ref="A6:A7"/>
    <mergeCell ref="B6:B7"/>
    <mergeCell ref="C6:D6"/>
    <mergeCell ref="E6:F6"/>
    <mergeCell ref="G6:H6"/>
  </mergeCells>
  <printOptions horizontalCentered="1"/>
  <pageMargins left="0" right="0" top="0.75" bottom="0.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95"/>
  <sheetViews>
    <sheetView zoomScale="90" zoomScaleNormal="90" workbookViewId="0">
      <pane xSplit="2" ySplit="7" topLeftCell="C15" activePane="bottomRight" state="frozen"/>
      <selection pane="topRight" activeCell="C1" sqref="C1"/>
      <selection pane="bottomLeft" activeCell="A9" sqref="A9"/>
      <selection pane="bottomRight" activeCell="F34" sqref="F34"/>
    </sheetView>
  </sheetViews>
  <sheetFormatPr defaultColWidth="9.109375" defaultRowHeight="13.8" outlineLevelRow="1" x14ac:dyDescent="0.3"/>
  <cols>
    <col min="1" max="1" width="9.44140625" style="268" bestFit="1" customWidth="1"/>
    <col min="2" max="2" width="38.109375" style="268" customWidth="1"/>
    <col min="3" max="3" width="11.88671875" style="268" customWidth="1"/>
    <col min="4" max="4" width="10.5546875" style="268" customWidth="1"/>
    <col min="5" max="5" width="11" style="268" customWidth="1"/>
    <col min="6" max="6" width="11" style="268" bestFit="1" customWidth="1"/>
    <col min="7" max="8" width="10.109375" style="268" bestFit="1" customWidth="1"/>
    <col min="9" max="9" width="11.44140625" style="268" bestFit="1" customWidth="1"/>
    <col min="10" max="11" width="9.44140625" style="268" bestFit="1" customWidth="1"/>
    <col min="12" max="12" width="29.5546875" style="268" customWidth="1"/>
    <col min="13" max="13" width="10.109375" style="268" bestFit="1" customWidth="1"/>
    <col min="14" max="257" width="9.109375" style="268"/>
    <col min="258" max="258" width="38.109375" style="268" customWidth="1"/>
    <col min="259" max="259" width="11.88671875" style="268" customWidth="1"/>
    <col min="260" max="260" width="10.5546875" style="268" customWidth="1"/>
    <col min="261" max="261" width="11" style="268" customWidth="1"/>
    <col min="262" max="264" width="10" style="268" bestFit="1" customWidth="1"/>
    <col min="265" max="265" width="11.44140625" style="268" bestFit="1" customWidth="1"/>
    <col min="266" max="267" width="9.109375" style="268"/>
    <col min="268" max="268" width="29.5546875" style="268" customWidth="1"/>
    <col min="269" max="269" width="10.109375" style="268" bestFit="1" customWidth="1"/>
    <col min="270" max="513" width="9.109375" style="268"/>
    <col min="514" max="514" width="38.109375" style="268" customWidth="1"/>
    <col min="515" max="515" width="11.88671875" style="268" customWidth="1"/>
    <col min="516" max="516" width="10.5546875" style="268" customWidth="1"/>
    <col min="517" max="517" width="11" style="268" customWidth="1"/>
    <col min="518" max="520" width="10" style="268" bestFit="1" customWidth="1"/>
    <col min="521" max="521" width="11.44140625" style="268" bestFit="1" customWidth="1"/>
    <col min="522" max="523" width="9.109375" style="268"/>
    <col min="524" max="524" width="29.5546875" style="268" customWidth="1"/>
    <col min="525" max="525" width="10.109375" style="268" bestFit="1" customWidth="1"/>
    <col min="526" max="769" width="9.109375" style="268"/>
    <col min="770" max="770" width="38.109375" style="268" customWidth="1"/>
    <col min="771" max="771" width="11.88671875" style="268" customWidth="1"/>
    <col min="772" max="772" width="10.5546875" style="268" customWidth="1"/>
    <col min="773" max="773" width="11" style="268" customWidth="1"/>
    <col min="774" max="776" width="10" style="268" bestFit="1" customWidth="1"/>
    <col min="777" max="777" width="11.44140625" style="268" bestFit="1" customWidth="1"/>
    <col min="778" max="779" width="9.109375" style="268"/>
    <col min="780" max="780" width="29.5546875" style="268" customWidth="1"/>
    <col min="781" max="781" width="10.109375" style="268" bestFit="1" customWidth="1"/>
    <col min="782" max="1025" width="9.109375" style="268"/>
    <col min="1026" max="1026" width="38.109375" style="268" customWidth="1"/>
    <col min="1027" max="1027" width="11.88671875" style="268" customWidth="1"/>
    <col min="1028" max="1028" width="10.5546875" style="268" customWidth="1"/>
    <col min="1029" max="1029" width="11" style="268" customWidth="1"/>
    <col min="1030" max="1032" width="10" style="268" bestFit="1" customWidth="1"/>
    <col min="1033" max="1033" width="11.44140625" style="268" bestFit="1" customWidth="1"/>
    <col min="1034" max="1035" width="9.109375" style="268"/>
    <col min="1036" max="1036" width="29.5546875" style="268" customWidth="1"/>
    <col min="1037" max="1037" width="10.109375" style="268" bestFit="1" customWidth="1"/>
    <col min="1038" max="1281" width="9.109375" style="268"/>
    <col min="1282" max="1282" width="38.109375" style="268" customWidth="1"/>
    <col min="1283" max="1283" width="11.88671875" style="268" customWidth="1"/>
    <col min="1284" max="1284" width="10.5546875" style="268" customWidth="1"/>
    <col min="1285" max="1285" width="11" style="268" customWidth="1"/>
    <col min="1286" max="1288" width="10" style="268" bestFit="1" customWidth="1"/>
    <col min="1289" max="1289" width="11.44140625" style="268" bestFit="1" customWidth="1"/>
    <col min="1290" max="1291" width="9.109375" style="268"/>
    <col min="1292" max="1292" width="29.5546875" style="268" customWidth="1"/>
    <col min="1293" max="1293" width="10.109375" style="268" bestFit="1" customWidth="1"/>
    <col min="1294" max="1537" width="9.109375" style="268"/>
    <col min="1538" max="1538" width="38.109375" style="268" customWidth="1"/>
    <col min="1539" max="1539" width="11.88671875" style="268" customWidth="1"/>
    <col min="1540" max="1540" width="10.5546875" style="268" customWidth="1"/>
    <col min="1541" max="1541" width="11" style="268" customWidth="1"/>
    <col min="1542" max="1544" width="10" style="268" bestFit="1" customWidth="1"/>
    <col min="1545" max="1545" width="11.44140625" style="268" bestFit="1" customWidth="1"/>
    <col min="1546" max="1547" width="9.109375" style="268"/>
    <col min="1548" max="1548" width="29.5546875" style="268" customWidth="1"/>
    <col min="1549" max="1549" width="10.109375" style="268" bestFit="1" customWidth="1"/>
    <col min="1550" max="1793" width="9.109375" style="268"/>
    <col min="1794" max="1794" width="38.109375" style="268" customWidth="1"/>
    <col min="1795" max="1795" width="11.88671875" style="268" customWidth="1"/>
    <col min="1796" max="1796" width="10.5546875" style="268" customWidth="1"/>
    <col min="1797" max="1797" width="11" style="268" customWidth="1"/>
    <col min="1798" max="1800" width="10" style="268" bestFit="1" customWidth="1"/>
    <col min="1801" max="1801" width="11.44140625" style="268" bestFit="1" customWidth="1"/>
    <col min="1802" max="1803" width="9.109375" style="268"/>
    <col min="1804" max="1804" width="29.5546875" style="268" customWidth="1"/>
    <col min="1805" max="1805" width="10.109375" style="268" bestFit="1" customWidth="1"/>
    <col min="1806" max="2049" width="9.109375" style="268"/>
    <col min="2050" max="2050" width="38.109375" style="268" customWidth="1"/>
    <col min="2051" max="2051" width="11.88671875" style="268" customWidth="1"/>
    <col min="2052" max="2052" width="10.5546875" style="268" customWidth="1"/>
    <col min="2053" max="2053" width="11" style="268" customWidth="1"/>
    <col min="2054" max="2056" width="10" style="268" bestFit="1" customWidth="1"/>
    <col min="2057" max="2057" width="11.44140625" style="268" bestFit="1" customWidth="1"/>
    <col min="2058" max="2059" width="9.109375" style="268"/>
    <col min="2060" max="2060" width="29.5546875" style="268" customWidth="1"/>
    <col min="2061" max="2061" width="10.109375" style="268" bestFit="1" customWidth="1"/>
    <col min="2062" max="2305" width="9.109375" style="268"/>
    <col min="2306" max="2306" width="38.109375" style="268" customWidth="1"/>
    <col min="2307" max="2307" width="11.88671875" style="268" customWidth="1"/>
    <col min="2308" max="2308" width="10.5546875" style="268" customWidth="1"/>
    <col min="2309" max="2309" width="11" style="268" customWidth="1"/>
    <col min="2310" max="2312" width="10" style="268" bestFit="1" customWidth="1"/>
    <col min="2313" max="2313" width="11.44140625" style="268" bestFit="1" customWidth="1"/>
    <col min="2314" max="2315" width="9.109375" style="268"/>
    <col min="2316" max="2316" width="29.5546875" style="268" customWidth="1"/>
    <col min="2317" max="2317" width="10.109375" style="268" bestFit="1" customWidth="1"/>
    <col min="2318" max="2561" width="9.109375" style="268"/>
    <col min="2562" max="2562" width="38.109375" style="268" customWidth="1"/>
    <col min="2563" max="2563" width="11.88671875" style="268" customWidth="1"/>
    <col min="2564" max="2564" width="10.5546875" style="268" customWidth="1"/>
    <col min="2565" max="2565" width="11" style="268" customWidth="1"/>
    <col min="2566" max="2568" width="10" style="268" bestFit="1" customWidth="1"/>
    <col min="2569" max="2569" width="11.44140625" style="268" bestFit="1" customWidth="1"/>
    <col min="2570" max="2571" width="9.109375" style="268"/>
    <col min="2572" max="2572" width="29.5546875" style="268" customWidth="1"/>
    <col min="2573" max="2573" width="10.109375" style="268" bestFit="1" customWidth="1"/>
    <col min="2574" max="2817" width="9.109375" style="268"/>
    <col min="2818" max="2818" width="38.109375" style="268" customWidth="1"/>
    <col min="2819" max="2819" width="11.88671875" style="268" customWidth="1"/>
    <col min="2820" max="2820" width="10.5546875" style="268" customWidth="1"/>
    <col min="2821" max="2821" width="11" style="268" customWidth="1"/>
    <col min="2822" max="2824" width="10" style="268" bestFit="1" customWidth="1"/>
    <col min="2825" max="2825" width="11.44140625" style="268" bestFit="1" customWidth="1"/>
    <col min="2826" max="2827" width="9.109375" style="268"/>
    <col min="2828" max="2828" width="29.5546875" style="268" customWidth="1"/>
    <col min="2829" max="2829" width="10.109375" style="268" bestFit="1" customWidth="1"/>
    <col min="2830" max="3073" width="9.109375" style="268"/>
    <col min="3074" max="3074" width="38.109375" style="268" customWidth="1"/>
    <col min="3075" max="3075" width="11.88671875" style="268" customWidth="1"/>
    <col min="3076" max="3076" width="10.5546875" style="268" customWidth="1"/>
    <col min="3077" max="3077" width="11" style="268" customWidth="1"/>
    <col min="3078" max="3080" width="10" style="268" bestFit="1" customWidth="1"/>
    <col min="3081" max="3081" width="11.44140625" style="268" bestFit="1" customWidth="1"/>
    <col min="3082" max="3083" width="9.109375" style="268"/>
    <col min="3084" max="3084" width="29.5546875" style="268" customWidth="1"/>
    <col min="3085" max="3085" width="10.109375" style="268" bestFit="1" customWidth="1"/>
    <col min="3086" max="3329" width="9.109375" style="268"/>
    <col min="3330" max="3330" width="38.109375" style="268" customWidth="1"/>
    <col min="3331" max="3331" width="11.88671875" style="268" customWidth="1"/>
    <col min="3332" max="3332" width="10.5546875" style="268" customWidth="1"/>
    <col min="3333" max="3333" width="11" style="268" customWidth="1"/>
    <col min="3334" max="3336" width="10" style="268" bestFit="1" customWidth="1"/>
    <col min="3337" max="3337" width="11.44140625" style="268" bestFit="1" customWidth="1"/>
    <col min="3338" max="3339" width="9.109375" style="268"/>
    <col min="3340" max="3340" width="29.5546875" style="268" customWidth="1"/>
    <col min="3341" max="3341" width="10.109375" style="268" bestFit="1" customWidth="1"/>
    <col min="3342" max="3585" width="9.109375" style="268"/>
    <col min="3586" max="3586" width="38.109375" style="268" customWidth="1"/>
    <col min="3587" max="3587" width="11.88671875" style="268" customWidth="1"/>
    <col min="3588" max="3588" width="10.5546875" style="268" customWidth="1"/>
    <col min="3589" max="3589" width="11" style="268" customWidth="1"/>
    <col min="3590" max="3592" width="10" style="268" bestFit="1" customWidth="1"/>
    <col min="3593" max="3593" width="11.44140625" style="268" bestFit="1" customWidth="1"/>
    <col min="3594" max="3595" width="9.109375" style="268"/>
    <col min="3596" max="3596" width="29.5546875" style="268" customWidth="1"/>
    <col min="3597" max="3597" width="10.109375" style="268" bestFit="1" customWidth="1"/>
    <col min="3598" max="3841" width="9.109375" style="268"/>
    <col min="3842" max="3842" width="38.109375" style="268" customWidth="1"/>
    <col min="3843" max="3843" width="11.88671875" style="268" customWidth="1"/>
    <col min="3844" max="3844" width="10.5546875" style="268" customWidth="1"/>
    <col min="3845" max="3845" width="11" style="268" customWidth="1"/>
    <col min="3846" max="3848" width="10" style="268" bestFit="1" customWidth="1"/>
    <col min="3849" max="3849" width="11.44140625" style="268" bestFit="1" customWidth="1"/>
    <col min="3850" max="3851" width="9.109375" style="268"/>
    <col min="3852" max="3852" width="29.5546875" style="268" customWidth="1"/>
    <col min="3853" max="3853" width="10.109375" style="268" bestFit="1" customWidth="1"/>
    <col min="3854" max="4097" width="9.109375" style="268"/>
    <col min="4098" max="4098" width="38.109375" style="268" customWidth="1"/>
    <col min="4099" max="4099" width="11.88671875" style="268" customWidth="1"/>
    <col min="4100" max="4100" width="10.5546875" style="268" customWidth="1"/>
    <col min="4101" max="4101" width="11" style="268" customWidth="1"/>
    <col min="4102" max="4104" width="10" style="268" bestFit="1" customWidth="1"/>
    <col min="4105" max="4105" width="11.44140625" style="268" bestFit="1" customWidth="1"/>
    <col min="4106" max="4107" width="9.109375" style="268"/>
    <col min="4108" max="4108" width="29.5546875" style="268" customWidth="1"/>
    <col min="4109" max="4109" width="10.109375" style="268" bestFit="1" customWidth="1"/>
    <col min="4110" max="4353" width="9.109375" style="268"/>
    <col min="4354" max="4354" width="38.109375" style="268" customWidth="1"/>
    <col min="4355" max="4355" width="11.88671875" style="268" customWidth="1"/>
    <col min="4356" max="4356" width="10.5546875" style="268" customWidth="1"/>
    <col min="4357" max="4357" width="11" style="268" customWidth="1"/>
    <col min="4358" max="4360" width="10" style="268" bestFit="1" customWidth="1"/>
    <col min="4361" max="4361" width="11.44140625" style="268" bestFit="1" customWidth="1"/>
    <col min="4362" max="4363" width="9.109375" style="268"/>
    <col min="4364" max="4364" width="29.5546875" style="268" customWidth="1"/>
    <col min="4365" max="4365" width="10.109375" style="268" bestFit="1" customWidth="1"/>
    <col min="4366" max="4609" width="9.109375" style="268"/>
    <col min="4610" max="4610" width="38.109375" style="268" customWidth="1"/>
    <col min="4611" max="4611" width="11.88671875" style="268" customWidth="1"/>
    <col min="4612" max="4612" width="10.5546875" style="268" customWidth="1"/>
    <col min="4613" max="4613" width="11" style="268" customWidth="1"/>
    <col min="4614" max="4616" width="10" style="268" bestFit="1" customWidth="1"/>
    <col min="4617" max="4617" width="11.44140625" style="268" bestFit="1" customWidth="1"/>
    <col min="4618" max="4619" width="9.109375" style="268"/>
    <col min="4620" max="4620" width="29.5546875" style="268" customWidth="1"/>
    <col min="4621" max="4621" width="10.109375" style="268" bestFit="1" customWidth="1"/>
    <col min="4622" max="4865" width="9.109375" style="268"/>
    <col min="4866" max="4866" width="38.109375" style="268" customWidth="1"/>
    <col min="4867" max="4867" width="11.88671875" style="268" customWidth="1"/>
    <col min="4868" max="4868" width="10.5546875" style="268" customWidth="1"/>
    <col min="4869" max="4869" width="11" style="268" customWidth="1"/>
    <col min="4870" max="4872" width="10" style="268" bestFit="1" customWidth="1"/>
    <col min="4873" max="4873" width="11.44140625" style="268" bestFit="1" customWidth="1"/>
    <col min="4874" max="4875" width="9.109375" style="268"/>
    <col min="4876" max="4876" width="29.5546875" style="268" customWidth="1"/>
    <col min="4877" max="4877" width="10.109375" style="268" bestFit="1" customWidth="1"/>
    <col min="4878" max="5121" width="9.109375" style="268"/>
    <col min="5122" max="5122" width="38.109375" style="268" customWidth="1"/>
    <col min="5123" max="5123" width="11.88671875" style="268" customWidth="1"/>
    <col min="5124" max="5124" width="10.5546875" style="268" customWidth="1"/>
    <col min="5125" max="5125" width="11" style="268" customWidth="1"/>
    <col min="5126" max="5128" width="10" style="268" bestFit="1" customWidth="1"/>
    <col min="5129" max="5129" width="11.44140625" style="268" bestFit="1" customWidth="1"/>
    <col min="5130" max="5131" width="9.109375" style="268"/>
    <col min="5132" max="5132" width="29.5546875" style="268" customWidth="1"/>
    <col min="5133" max="5133" width="10.109375" style="268" bestFit="1" customWidth="1"/>
    <col min="5134" max="5377" width="9.109375" style="268"/>
    <col min="5378" max="5378" width="38.109375" style="268" customWidth="1"/>
    <col min="5379" max="5379" width="11.88671875" style="268" customWidth="1"/>
    <col min="5380" max="5380" width="10.5546875" style="268" customWidth="1"/>
    <col min="5381" max="5381" width="11" style="268" customWidth="1"/>
    <col min="5382" max="5384" width="10" style="268" bestFit="1" customWidth="1"/>
    <col min="5385" max="5385" width="11.44140625" style="268" bestFit="1" customWidth="1"/>
    <col min="5386" max="5387" width="9.109375" style="268"/>
    <col min="5388" max="5388" width="29.5546875" style="268" customWidth="1"/>
    <col min="5389" max="5389" width="10.109375" style="268" bestFit="1" customWidth="1"/>
    <col min="5390" max="5633" width="9.109375" style="268"/>
    <col min="5634" max="5634" width="38.109375" style="268" customWidth="1"/>
    <col min="5635" max="5635" width="11.88671875" style="268" customWidth="1"/>
    <col min="5636" max="5636" width="10.5546875" style="268" customWidth="1"/>
    <col min="5637" max="5637" width="11" style="268" customWidth="1"/>
    <col min="5638" max="5640" width="10" style="268" bestFit="1" customWidth="1"/>
    <col min="5641" max="5641" width="11.44140625" style="268" bestFit="1" customWidth="1"/>
    <col min="5642" max="5643" width="9.109375" style="268"/>
    <col min="5644" max="5644" width="29.5546875" style="268" customWidth="1"/>
    <col min="5645" max="5645" width="10.109375" style="268" bestFit="1" customWidth="1"/>
    <col min="5646" max="5889" width="9.109375" style="268"/>
    <col min="5890" max="5890" width="38.109375" style="268" customWidth="1"/>
    <col min="5891" max="5891" width="11.88671875" style="268" customWidth="1"/>
    <col min="5892" max="5892" width="10.5546875" style="268" customWidth="1"/>
    <col min="5893" max="5893" width="11" style="268" customWidth="1"/>
    <col min="5894" max="5896" width="10" style="268" bestFit="1" customWidth="1"/>
    <col min="5897" max="5897" width="11.44140625" style="268" bestFit="1" customWidth="1"/>
    <col min="5898" max="5899" width="9.109375" style="268"/>
    <col min="5900" max="5900" width="29.5546875" style="268" customWidth="1"/>
    <col min="5901" max="5901" width="10.109375" style="268" bestFit="1" customWidth="1"/>
    <col min="5902" max="6145" width="9.109375" style="268"/>
    <col min="6146" max="6146" width="38.109375" style="268" customWidth="1"/>
    <col min="6147" max="6147" width="11.88671875" style="268" customWidth="1"/>
    <col min="6148" max="6148" width="10.5546875" style="268" customWidth="1"/>
    <col min="6149" max="6149" width="11" style="268" customWidth="1"/>
    <col min="6150" max="6152" width="10" style="268" bestFit="1" customWidth="1"/>
    <col min="6153" max="6153" width="11.44140625" style="268" bestFit="1" customWidth="1"/>
    <col min="6154" max="6155" width="9.109375" style="268"/>
    <col min="6156" max="6156" width="29.5546875" style="268" customWidth="1"/>
    <col min="6157" max="6157" width="10.109375" style="268" bestFit="1" customWidth="1"/>
    <col min="6158" max="6401" width="9.109375" style="268"/>
    <col min="6402" max="6402" width="38.109375" style="268" customWidth="1"/>
    <col min="6403" max="6403" width="11.88671875" style="268" customWidth="1"/>
    <col min="6404" max="6404" width="10.5546875" style="268" customWidth="1"/>
    <col min="6405" max="6405" width="11" style="268" customWidth="1"/>
    <col min="6406" max="6408" width="10" style="268" bestFit="1" customWidth="1"/>
    <col min="6409" max="6409" width="11.44140625" style="268" bestFit="1" customWidth="1"/>
    <col min="6410" max="6411" width="9.109375" style="268"/>
    <col min="6412" max="6412" width="29.5546875" style="268" customWidth="1"/>
    <col min="6413" max="6413" width="10.109375" style="268" bestFit="1" customWidth="1"/>
    <col min="6414" max="6657" width="9.109375" style="268"/>
    <col min="6658" max="6658" width="38.109375" style="268" customWidth="1"/>
    <col min="6659" max="6659" width="11.88671875" style="268" customWidth="1"/>
    <col min="6660" max="6660" width="10.5546875" style="268" customWidth="1"/>
    <col min="6661" max="6661" width="11" style="268" customWidth="1"/>
    <col min="6662" max="6664" width="10" style="268" bestFit="1" customWidth="1"/>
    <col min="6665" max="6665" width="11.44140625" style="268" bestFit="1" customWidth="1"/>
    <col min="6666" max="6667" width="9.109375" style="268"/>
    <col min="6668" max="6668" width="29.5546875" style="268" customWidth="1"/>
    <col min="6669" max="6669" width="10.109375" style="268" bestFit="1" customWidth="1"/>
    <col min="6670" max="6913" width="9.109375" style="268"/>
    <col min="6914" max="6914" width="38.109375" style="268" customWidth="1"/>
    <col min="6915" max="6915" width="11.88671875" style="268" customWidth="1"/>
    <col min="6916" max="6916" width="10.5546875" style="268" customWidth="1"/>
    <col min="6917" max="6917" width="11" style="268" customWidth="1"/>
    <col min="6918" max="6920" width="10" style="268" bestFit="1" customWidth="1"/>
    <col min="6921" max="6921" width="11.44140625" style="268" bestFit="1" customWidth="1"/>
    <col min="6922" max="6923" width="9.109375" style="268"/>
    <col min="6924" max="6924" width="29.5546875" style="268" customWidth="1"/>
    <col min="6925" max="6925" width="10.109375" style="268" bestFit="1" customWidth="1"/>
    <col min="6926" max="7169" width="9.109375" style="268"/>
    <col min="7170" max="7170" width="38.109375" style="268" customWidth="1"/>
    <col min="7171" max="7171" width="11.88671875" style="268" customWidth="1"/>
    <col min="7172" max="7172" width="10.5546875" style="268" customWidth="1"/>
    <col min="7173" max="7173" width="11" style="268" customWidth="1"/>
    <col min="7174" max="7176" width="10" style="268" bestFit="1" customWidth="1"/>
    <col min="7177" max="7177" width="11.44140625" style="268" bestFit="1" customWidth="1"/>
    <col min="7178" max="7179" width="9.109375" style="268"/>
    <col min="7180" max="7180" width="29.5546875" style="268" customWidth="1"/>
    <col min="7181" max="7181" width="10.109375" style="268" bestFit="1" customWidth="1"/>
    <col min="7182" max="7425" width="9.109375" style="268"/>
    <col min="7426" max="7426" width="38.109375" style="268" customWidth="1"/>
    <col min="7427" max="7427" width="11.88671875" style="268" customWidth="1"/>
    <col min="7428" max="7428" width="10.5546875" style="268" customWidth="1"/>
    <col min="7429" max="7429" width="11" style="268" customWidth="1"/>
    <col min="7430" max="7432" width="10" style="268" bestFit="1" customWidth="1"/>
    <col min="7433" max="7433" width="11.44140625" style="268" bestFit="1" customWidth="1"/>
    <col min="7434" max="7435" width="9.109375" style="268"/>
    <col min="7436" max="7436" width="29.5546875" style="268" customWidth="1"/>
    <col min="7437" max="7437" width="10.109375" style="268" bestFit="1" customWidth="1"/>
    <col min="7438" max="7681" width="9.109375" style="268"/>
    <col min="7682" max="7682" width="38.109375" style="268" customWidth="1"/>
    <col min="7683" max="7683" width="11.88671875" style="268" customWidth="1"/>
    <col min="7684" max="7684" width="10.5546875" style="268" customWidth="1"/>
    <col min="7685" max="7685" width="11" style="268" customWidth="1"/>
    <col min="7686" max="7688" width="10" style="268" bestFit="1" customWidth="1"/>
    <col min="7689" max="7689" width="11.44140625" style="268" bestFit="1" customWidth="1"/>
    <col min="7690" max="7691" width="9.109375" style="268"/>
    <col min="7692" max="7692" width="29.5546875" style="268" customWidth="1"/>
    <col min="7693" max="7693" width="10.109375" style="268" bestFit="1" customWidth="1"/>
    <col min="7694" max="7937" width="9.109375" style="268"/>
    <col min="7938" max="7938" width="38.109375" style="268" customWidth="1"/>
    <col min="7939" max="7939" width="11.88671875" style="268" customWidth="1"/>
    <col min="7940" max="7940" width="10.5546875" style="268" customWidth="1"/>
    <col min="7941" max="7941" width="11" style="268" customWidth="1"/>
    <col min="7942" max="7944" width="10" style="268" bestFit="1" customWidth="1"/>
    <col min="7945" max="7945" width="11.44140625" style="268" bestFit="1" customWidth="1"/>
    <col min="7946" max="7947" width="9.109375" style="268"/>
    <col min="7948" max="7948" width="29.5546875" style="268" customWidth="1"/>
    <col min="7949" max="7949" width="10.109375" style="268" bestFit="1" customWidth="1"/>
    <col min="7950" max="8193" width="9.109375" style="268"/>
    <col min="8194" max="8194" width="38.109375" style="268" customWidth="1"/>
    <col min="8195" max="8195" width="11.88671875" style="268" customWidth="1"/>
    <col min="8196" max="8196" width="10.5546875" style="268" customWidth="1"/>
    <col min="8197" max="8197" width="11" style="268" customWidth="1"/>
    <col min="8198" max="8200" width="10" style="268" bestFit="1" customWidth="1"/>
    <col min="8201" max="8201" width="11.44140625" style="268" bestFit="1" customWidth="1"/>
    <col min="8202" max="8203" width="9.109375" style="268"/>
    <col min="8204" max="8204" width="29.5546875" style="268" customWidth="1"/>
    <col min="8205" max="8205" width="10.109375" style="268" bestFit="1" customWidth="1"/>
    <col min="8206" max="8449" width="9.109375" style="268"/>
    <col min="8450" max="8450" width="38.109375" style="268" customWidth="1"/>
    <col min="8451" max="8451" width="11.88671875" style="268" customWidth="1"/>
    <col min="8452" max="8452" width="10.5546875" style="268" customWidth="1"/>
    <col min="8453" max="8453" width="11" style="268" customWidth="1"/>
    <col min="8454" max="8456" width="10" style="268" bestFit="1" customWidth="1"/>
    <col min="8457" max="8457" width="11.44140625" style="268" bestFit="1" customWidth="1"/>
    <col min="8458" max="8459" width="9.109375" style="268"/>
    <col min="8460" max="8460" width="29.5546875" style="268" customWidth="1"/>
    <col min="8461" max="8461" width="10.109375" style="268" bestFit="1" customWidth="1"/>
    <col min="8462" max="8705" width="9.109375" style="268"/>
    <col min="8706" max="8706" width="38.109375" style="268" customWidth="1"/>
    <col min="8707" max="8707" width="11.88671875" style="268" customWidth="1"/>
    <col min="8708" max="8708" width="10.5546875" style="268" customWidth="1"/>
    <col min="8709" max="8709" width="11" style="268" customWidth="1"/>
    <col min="8710" max="8712" width="10" style="268" bestFit="1" customWidth="1"/>
    <col min="8713" max="8713" width="11.44140625" style="268" bestFit="1" customWidth="1"/>
    <col min="8714" max="8715" width="9.109375" style="268"/>
    <col min="8716" max="8716" width="29.5546875" style="268" customWidth="1"/>
    <col min="8717" max="8717" width="10.109375" style="268" bestFit="1" customWidth="1"/>
    <col min="8718" max="8961" width="9.109375" style="268"/>
    <col min="8962" max="8962" width="38.109375" style="268" customWidth="1"/>
    <col min="8963" max="8963" width="11.88671875" style="268" customWidth="1"/>
    <col min="8964" max="8964" width="10.5546875" style="268" customWidth="1"/>
    <col min="8965" max="8965" width="11" style="268" customWidth="1"/>
    <col min="8966" max="8968" width="10" style="268" bestFit="1" customWidth="1"/>
    <col min="8969" max="8969" width="11.44140625" style="268" bestFit="1" customWidth="1"/>
    <col min="8970" max="8971" width="9.109375" style="268"/>
    <col min="8972" max="8972" width="29.5546875" style="268" customWidth="1"/>
    <col min="8973" max="8973" width="10.109375" style="268" bestFit="1" customWidth="1"/>
    <col min="8974" max="9217" width="9.109375" style="268"/>
    <col min="9218" max="9218" width="38.109375" style="268" customWidth="1"/>
    <col min="9219" max="9219" width="11.88671875" style="268" customWidth="1"/>
    <col min="9220" max="9220" width="10.5546875" style="268" customWidth="1"/>
    <col min="9221" max="9221" width="11" style="268" customWidth="1"/>
    <col min="9222" max="9224" width="10" style="268" bestFit="1" customWidth="1"/>
    <col min="9225" max="9225" width="11.44140625" style="268" bestFit="1" customWidth="1"/>
    <col min="9226" max="9227" width="9.109375" style="268"/>
    <col min="9228" max="9228" width="29.5546875" style="268" customWidth="1"/>
    <col min="9229" max="9229" width="10.109375" style="268" bestFit="1" customWidth="1"/>
    <col min="9230" max="9473" width="9.109375" style="268"/>
    <col min="9474" max="9474" width="38.109375" style="268" customWidth="1"/>
    <col min="9475" max="9475" width="11.88671875" style="268" customWidth="1"/>
    <col min="9476" max="9476" width="10.5546875" style="268" customWidth="1"/>
    <col min="9477" max="9477" width="11" style="268" customWidth="1"/>
    <col min="9478" max="9480" width="10" style="268" bestFit="1" customWidth="1"/>
    <col min="9481" max="9481" width="11.44140625" style="268" bestFit="1" customWidth="1"/>
    <col min="9482" max="9483" width="9.109375" style="268"/>
    <col min="9484" max="9484" width="29.5546875" style="268" customWidth="1"/>
    <col min="9485" max="9485" width="10.109375" style="268" bestFit="1" customWidth="1"/>
    <col min="9486" max="9729" width="9.109375" style="268"/>
    <col min="9730" max="9730" width="38.109375" style="268" customWidth="1"/>
    <col min="9731" max="9731" width="11.88671875" style="268" customWidth="1"/>
    <col min="9732" max="9732" width="10.5546875" style="268" customWidth="1"/>
    <col min="9733" max="9733" width="11" style="268" customWidth="1"/>
    <col min="9734" max="9736" width="10" style="268" bestFit="1" customWidth="1"/>
    <col min="9737" max="9737" width="11.44140625" style="268" bestFit="1" customWidth="1"/>
    <col min="9738" max="9739" width="9.109375" style="268"/>
    <col min="9740" max="9740" width="29.5546875" style="268" customWidth="1"/>
    <col min="9741" max="9741" width="10.109375" style="268" bestFit="1" customWidth="1"/>
    <col min="9742" max="9985" width="9.109375" style="268"/>
    <col min="9986" max="9986" width="38.109375" style="268" customWidth="1"/>
    <col min="9987" max="9987" width="11.88671875" style="268" customWidth="1"/>
    <col min="9988" max="9988" width="10.5546875" style="268" customWidth="1"/>
    <col min="9989" max="9989" width="11" style="268" customWidth="1"/>
    <col min="9990" max="9992" width="10" style="268" bestFit="1" customWidth="1"/>
    <col min="9993" max="9993" width="11.44140625" style="268" bestFit="1" customWidth="1"/>
    <col min="9994" max="9995" width="9.109375" style="268"/>
    <col min="9996" max="9996" width="29.5546875" style="268" customWidth="1"/>
    <col min="9997" max="9997" width="10.109375" style="268" bestFit="1" customWidth="1"/>
    <col min="9998" max="10241" width="9.109375" style="268"/>
    <col min="10242" max="10242" width="38.109375" style="268" customWidth="1"/>
    <col min="10243" max="10243" width="11.88671875" style="268" customWidth="1"/>
    <col min="10244" max="10244" width="10.5546875" style="268" customWidth="1"/>
    <col min="10245" max="10245" width="11" style="268" customWidth="1"/>
    <col min="10246" max="10248" width="10" style="268" bestFit="1" customWidth="1"/>
    <col min="10249" max="10249" width="11.44140625" style="268" bestFit="1" customWidth="1"/>
    <col min="10250" max="10251" width="9.109375" style="268"/>
    <col min="10252" max="10252" width="29.5546875" style="268" customWidth="1"/>
    <col min="10253" max="10253" width="10.109375" style="268" bestFit="1" customWidth="1"/>
    <col min="10254" max="10497" width="9.109375" style="268"/>
    <col min="10498" max="10498" width="38.109375" style="268" customWidth="1"/>
    <col min="10499" max="10499" width="11.88671875" style="268" customWidth="1"/>
    <col min="10500" max="10500" width="10.5546875" style="268" customWidth="1"/>
    <col min="10501" max="10501" width="11" style="268" customWidth="1"/>
    <col min="10502" max="10504" width="10" style="268" bestFit="1" customWidth="1"/>
    <col min="10505" max="10505" width="11.44140625" style="268" bestFit="1" customWidth="1"/>
    <col min="10506" max="10507" width="9.109375" style="268"/>
    <col min="10508" max="10508" width="29.5546875" style="268" customWidth="1"/>
    <col min="10509" max="10509" width="10.109375" style="268" bestFit="1" customWidth="1"/>
    <col min="10510" max="10753" width="9.109375" style="268"/>
    <col min="10754" max="10754" width="38.109375" style="268" customWidth="1"/>
    <col min="10755" max="10755" width="11.88671875" style="268" customWidth="1"/>
    <col min="10756" max="10756" width="10.5546875" style="268" customWidth="1"/>
    <col min="10757" max="10757" width="11" style="268" customWidth="1"/>
    <col min="10758" max="10760" width="10" style="268" bestFit="1" customWidth="1"/>
    <col min="10761" max="10761" width="11.44140625" style="268" bestFit="1" customWidth="1"/>
    <col min="10762" max="10763" width="9.109375" style="268"/>
    <col min="10764" max="10764" width="29.5546875" style="268" customWidth="1"/>
    <col min="10765" max="10765" width="10.109375" style="268" bestFit="1" customWidth="1"/>
    <col min="10766" max="11009" width="9.109375" style="268"/>
    <col min="11010" max="11010" width="38.109375" style="268" customWidth="1"/>
    <col min="11011" max="11011" width="11.88671875" style="268" customWidth="1"/>
    <col min="11012" max="11012" width="10.5546875" style="268" customWidth="1"/>
    <col min="11013" max="11013" width="11" style="268" customWidth="1"/>
    <col min="11014" max="11016" width="10" style="268" bestFit="1" customWidth="1"/>
    <col min="11017" max="11017" width="11.44140625" style="268" bestFit="1" customWidth="1"/>
    <col min="11018" max="11019" width="9.109375" style="268"/>
    <col min="11020" max="11020" width="29.5546875" style="268" customWidth="1"/>
    <col min="11021" max="11021" width="10.109375" style="268" bestFit="1" customWidth="1"/>
    <col min="11022" max="11265" width="9.109375" style="268"/>
    <col min="11266" max="11266" width="38.109375" style="268" customWidth="1"/>
    <col min="11267" max="11267" width="11.88671875" style="268" customWidth="1"/>
    <col min="11268" max="11268" width="10.5546875" style="268" customWidth="1"/>
    <col min="11269" max="11269" width="11" style="268" customWidth="1"/>
    <col min="11270" max="11272" width="10" style="268" bestFit="1" customWidth="1"/>
    <col min="11273" max="11273" width="11.44140625" style="268" bestFit="1" customWidth="1"/>
    <col min="11274" max="11275" width="9.109375" style="268"/>
    <col min="11276" max="11276" width="29.5546875" style="268" customWidth="1"/>
    <col min="11277" max="11277" width="10.109375" style="268" bestFit="1" customWidth="1"/>
    <col min="11278" max="11521" width="9.109375" style="268"/>
    <col min="11522" max="11522" width="38.109375" style="268" customWidth="1"/>
    <col min="11523" max="11523" width="11.88671875" style="268" customWidth="1"/>
    <col min="11524" max="11524" width="10.5546875" style="268" customWidth="1"/>
    <col min="11525" max="11525" width="11" style="268" customWidth="1"/>
    <col min="11526" max="11528" width="10" style="268" bestFit="1" customWidth="1"/>
    <col min="11529" max="11529" width="11.44140625" style="268" bestFit="1" customWidth="1"/>
    <col min="11530" max="11531" width="9.109375" style="268"/>
    <col min="11532" max="11532" width="29.5546875" style="268" customWidth="1"/>
    <col min="11533" max="11533" width="10.109375" style="268" bestFit="1" customWidth="1"/>
    <col min="11534" max="11777" width="9.109375" style="268"/>
    <col min="11778" max="11778" width="38.109375" style="268" customWidth="1"/>
    <col min="11779" max="11779" width="11.88671875" style="268" customWidth="1"/>
    <col min="11780" max="11780" width="10.5546875" style="268" customWidth="1"/>
    <col min="11781" max="11781" width="11" style="268" customWidth="1"/>
    <col min="11782" max="11784" width="10" style="268" bestFit="1" customWidth="1"/>
    <col min="11785" max="11785" width="11.44140625" style="268" bestFit="1" customWidth="1"/>
    <col min="11786" max="11787" width="9.109375" style="268"/>
    <col min="11788" max="11788" width="29.5546875" style="268" customWidth="1"/>
    <col min="11789" max="11789" width="10.109375" style="268" bestFit="1" customWidth="1"/>
    <col min="11790" max="12033" width="9.109375" style="268"/>
    <col min="12034" max="12034" width="38.109375" style="268" customWidth="1"/>
    <col min="12035" max="12035" width="11.88671875" style="268" customWidth="1"/>
    <col min="12036" max="12036" width="10.5546875" style="268" customWidth="1"/>
    <col min="12037" max="12037" width="11" style="268" customWidth="1"/>
    <col min="12038" max="12040" width="10" style="268" bestFit="1" customWidth="1"/>
    <col min="12041" max="12041" width="11.44140625" style="268" bestFit="1" customWidth="1"/>
    <col min="12042" max="12043" width="9.109375" style="268"/>
    <col min="12044" max="12044" width="29.5546875" style="268" customWidth="1"/>
    <col min="12045" max="12045" width="10.109375" style="268" bestFit="1" customWidth="1"/>
    <col min="12046" max="12289" width="9.109375" style="268"/>
    <col min="12290" max="12290" width="38.109375" style="268" customWidth="1"/>
    <col min="12291" max="12291" width="11.88671875" style="268" customWidth="1"/>
    <col min="12292" max="12292" width="10.5546875" style="268" customWidth="1"/>
    <col min="12293" max="12293" width="11" style="268" customWidth="1"/>
    <col min="12294" max="12296" width="10" style="268" bestFit="1" customWidth="1"/>
    <col min="12297" max="12297" width="11.44140625" style="268" bestFit="1" customWidth="1"/>
    <col min="12298" max="12299" width="9.109375" style="268"/>
    <col min="12300" max="12300" width="29.5546875" style="268" customWidth="1"/>
    <col min="12301" max="12301" width="10.109375" style="268" bestFit="1" customWidth="1"/>
    <col min="12302" max="12545" width="9.109375" style="268"/>
    <col min="12546" max="12546" width="38.109375" style="268" customWidth="1"/>
    <col min="12547" max="12547" width="11.88671875" style="268" customWidth="1"/>
    <col min="12548" max="12548" width="10.5546875" style="268" customWidth="1"/>
    <col min="12549" max="12549" width="11" style="268" customWidth="1"/>
    <col min="12550" max="12552" width="10" style="268" bestFit="1" customWidth="1"/>
    <col min="12553" max="12553" width="11.44140625" style="268" bestFit="1" customWidth="1"/>
    <col min="12554" max="12555" width="9.109375" style="268"/>
    <col min="12556" max="12556" width="29.5546875" style="268" customWidth="1"/>
    <col min="12557" max="12557" width="10.109375" style="268" bestFit="1" customWidth="1"/>
    <col min="12558" max="12801" width="9.109375" style="268"/>
    <col min="12802" max="12802" width="38.109375" style="268" customWidth="1"/>
    <col min="12803" max="12803" width="11.88671875" style="268" customWidth="1"/>
    <col min="12804" max="12804" width="10.5546875" style="268" customWidth="1"/>
    <col min="12805" max="12805" width="11" style="268" customWidth="1"/>
    <col min="12806" max="12808" width="10" style="268" bestFit="1" customWidth="1"/>
    <col min="12809" max="12809" width="11.44140625" style="268" bestFit="1" customWidth="1"/>
    <col min="12810" max="12811" width="9.109375" style="268"/>
    <col min="12812" max="12812" width="29.5546875" style="268" customWidth="1"/>
    <col min="12813" max="12813" width="10.109375" style="268" bestFit="1" customWidth="1"/>
    <col min="12814" max="13057" width="9.109375" style="268"/>
    <col min="13058" max="13058" width="38.109375" style="268" customWidth="1"/>
    <col min="13059" max="13059" width="11.88671875" style="268" customWidth="1"/>
    <col min="13060" max="13060" width="10.5546875" style="268" customWidth="1"/>
    <col min="13061" max="13061" width="11" style="268" customWidth="1"/>
    <col min="13062" max="13064" width="10" style="268" bestFit="1" customWidth="1"/>
    <col min="13065" max="13065" width="11.44140625" style="268" bestFit="1" customWidth="1"/>
    <col min="13066" max="13067" width="9.109375" style="268"/>
    <col min="13068" max="13068" width="29.5546875" style="268" customWidth="1"/>
    <col min="13069" max="13069" width="10.109375" style="268" bestFit="1" customWidth="1"/>
    <col min="13070" max="13313" width="9.109375" style="268"/>
    <col min="13314" max="13314" width="38.109375" style="268" customWidth="1"/>
    <col min="13315" max="13315" width="11.88671875" style="268" customWidth="1"/>
    <col min="13316" max="13316" width="10.5546875" style="268" customWidth="1"/>
    <col min="13317" max="13317" width="11" style="268" customWidth="1"/>
    <col min="13318" max="13320" width="10" style="268" bestFit="1" customWidth="1"/>
    <col min="13321" max="13321" width="11.44140625" style="268" bestFit="1" customWidth="1"/>
    <col min="13322" max="13323" width="9.109375" style="268"/>
    <col min="13324" max="13324" width="29.5546875" style="268" customWidth="1"/>
    <col min="13325" max="13325" width="10.109375" style="268" bestFit="1" customWidth="1"/>
    <col min="13326" max="13569" width="9.109375" style="268"/>
    <col min="13570" max="13570" width="38.109375" style="268" customWidth="1"/>
    <col min="13571" max="13571" width="11.88671875" style="268" customWidth="1"/>
    <col min="13572" max="13572" width="10.5546875" style="268" customWidth="1"/>
    <col min="13573" max="13573" width="11" style="268" customWidth="1"/>
    <col min="13574" max="13576" width="10" style="268" bestFit="1" customWidth="1"/>
    <col min="13577" max="13577" width="11.44140625" style="268" bestFit="1" customWidth="1"/>
    <col min="13578" max="13579" width="9.109375" style="268"/>
    <col min="13580" max="13580" width="29.5546875" style="268" customWidth="1"/>
    <col min="13581" max="13581" width="10.109375" style="268" bestFit="1" customWidth="1"/>
    <col min="13582" max="13825" width="9.109375" style="268"/>
    <col min="13826" max="13826" width="38.109375" style="268" customWidth="1"/>
    <col min="13827" max="13827" width="11.88671875" style="268" customWidth="1"/>
    <col min="13828" max="13828" width="10.5546875" style="268" customWidth="1"/>
    <col min="13829" max="13829" width="11" style="268" customWidth="1"/>
    <col min="13830" max="13832" width="10" style="268" bestFit="1" customWidth="1"/>
    <col min="13833" max="13833" width="11.44140625" style="268" bestFit="1" customWidth="1"/>
    <col min="13834" max="13835" width="9.109375" style="268"/>
    <col min="13836" max="13836" width="29.5546875" style="268" customWidth="1"/>
    <col min="13837" max="13837" width="10.109375" style="268" bestFit="1" customWidth="1"/>
    <col min="13838" max="14081" width="9.109375" style="268"/>
    <col min="14082" max="14082" width="38.109375" style="268" customWidth="1"/>
    <col min="14083" max="14083" width="11.88671875" style="268" customWidth="1"/>
    <col min="14084" max="14084" width="10.5546875" style="268" customWidth="1"/>
    <col min="14085" max="14085" width="11" style="268" customWidth="1"/>
    <col min="14086" max="14088" width="10" style="268" bestFit="1" customWidth="1"/>
    <col min="14089" max="14089" width="11.44140625" style="268" bestFit="1" customWidth="1"/>
    <col min="14090" max="14091" width="9.109375" style="268"/>
    <col min="14092" max="14092" width="29.5546875" style="268" customWidth="1"/>
    <col min="14093" max="14093" width="10.109375" style="268" bestFit="1" customWidth="1"/>
    <col min="14094" max="14337" width="9.109375" style="268"/>
    <col min="14338" max="14338" width="38.109375" style="268" customWidth="1"/>
    <col min="14339" max="14339" width="11.88671875" style="268" customWidth="1"/>
    <col min="14340" max="14340" width="10.5546875" style="268" customWidth="1"/>
    <col min="14341" max="14341" width="11" style="268" customWidth="1"/>
    <col min="14342" max="14344" width="10" style="268" bestFit="1" customWidth="1"/>
    <col min="14345" max="14345" width="11.44140625" style="268" bestFit="1" customWidth="1"/>
    <col min="14346" max="14347" width="9.109375" style="268"/>
    <col min="14348" max="14348" width="29.5546875" style="268" customWidth="1"/>
    <col min="14349" max="14349" width="10.109375" style="268" bestFit="1" customWidth="1"/>
    <col min="14350" max="14593" width="9.109375" style="268"/>
    <col min="14594" max="14594" width="38.109375" style="268" customWidth="1"/>
    <col min="14595" max="14595" width="11.88671875" style="268" customWidth="1"/>
    <col min="14596" max="14596" width="10.5546875" style="268" customWidth="1"/>
    <col min="14597" max="14597" width="11" style="268" customWidth="1"/>
    <col min="14598" max="14600" width="10" style="268" bestFit="1" customWidth="1"/>
    <col min="14601" max="14601" width="11.44140625" style="268" bestFit="1" customWidth="1"/>
    <col min="14602" max="14603" width="9.109375" style="268"/>
    <col min="14604" max="14604" width="29.5546875" style="268" customWidth="1"/>
    <col min="14605" max="14605" width="10.109375" style="268" bestFit="1" customWidth="1"/>
    <col min="14606" max="14849" width="9.109375" style="268"/>
    <col min="14850" max="14850" width="38.109375" style="268" customWidth="1"/>
    <col min="14851" max="14851" width="11.88671875" style="268" customWidth="1"/>
    <col min="14852" max="14852" width="10.5546875" style="268" customWidth="1"/>
    <col min="14853" max="14853" width="11" style="268" customWidth="1"/>
    <col min="14854" max="14856" width="10" style="268" bestFit="1" customWidth="1"/>
    <col min="14857" max="14857" width="11.44140625" style="268" bestFit="1" customWidth="1"/>
    <col min="14858" max="14859" width="9.109375" style="268"/>
    <col min="14860" max="14860" width="29.5546875" style="268" customWidth="1"/>
    <col min="14861" max="14861" width="10.109375" style="268" bestFit="1" customWidth="1"/>
    <col min="14862" max="15105" width="9.109375" style="268"/>
    <col min="15106" max="15106" width="38.109375" style="268" customWidth="1"/>
    <col min="15107" max="15107" width="11.88671875" style="268" customWidth="1"/>
    <col min="15108" max="15108" width="10.5546875" style="268" customWidth="1"/>
    <col min="15109" max="15109" width="11" style="268" customWidth="1"/>
    <col min="15110" max="15112" width="10" style="268" bestFit="1" customWidth="1"/>
    <col min="15113" max="15113" width="11.44140625" style="268" bestFit="1" customWidth="1"/>
    <col min="15114" max="15115" width="9.109375" style="268"/>
    <col min="15116" max="15116" width="29.5546875" style="268" customWidth="1"/>
    <col min="15117" max="15117" width="10.109375" style="268" bestFit="1" customWidth="1"/>
    <col min="15118" max="15361" width="9.109375" style="268"/>
    <col min="15362" max="15362" width="38.109375" style="268" customWidth="1"/>
    <col min="15363" max="15363" width="11.88671875" style="268" customWidth="1"/>
    <col min="15364" max="15364" width="10.5546875" style="268" customWidth="1"/>
    <col min="15365" max="15365" width="11" style="268" customWidth="1"/>
    <col min="15366" max="15368" width="10" style="268" bestFit="1" customWidth="1"/>
    <col min="15369" max="15369" width="11.44140625" style="268" bestFit="1" customWidth="1"/>
    <col min="15370" max="15371" width="9.109375" style="268"/>
    <col min="15372" max="15372" width="29.5546875" style="268" customWidth="1"/>
    <col min="15373" max="15373" width="10.109375" style="268" bestFit="1" customWidth="1"/>
    <col min="15374" max="15617" width="9.109375" style="268"/>
    <col min="15618" max="15618" width="38.109375" style="268" customWidth="1"/>
    <col min="15619" max="15619" width="11.88671875" style="268" customWidth="1"/>
    <col min="15620" max="15620" width="10.5546875" style="268" customWidth="1"/>
    <col min="15621" max="15621" width="11" style="268" customWidth="1"/>
    <col min="15622" max="15624" width="10" style="268" bestFit="1" customWidth="1"/>
    <col min="15625" max="15625" width="11.44140625" style="268" bestFit="1" customWidth="1"/>
    <col min="15626" max="15627" width="9.109375" style="268"/>
    <col min="15628" max="15628" width="29.5546875" style="268" customWidth="1"/>
    <col min="15629" max="15629" width="10.109375" style="268" bestFit="1" customWidth="1"/>
    <col min="15630" max="15873" width="9.109375" style="268"/>
    <col min="15874" max="15874" width="38.109375" style="268" customWidth="1"/>
    <col min="15875" max="15875" width="11.88671875" style="268" customWidth="1"/>
    <col min="15876" max="15876" width="10.5546875" style="268" customWidth="1"/>
    <col min="15877" max="15877" width="11" style="268" customWidth="1"/>
    <col min="15878" max="15880" width="10" style="268" bestFit="1" customWidth="1"/>
    <col min="15881" max="15881" width="11.44140625" style="268" bestFit="1" customWidth="1"/>
    <col min="15882" max="15883" width="9.109375" style="268"/>
    <col min="15884" max="15884" width="29.5546875" style="268" customWidth="1"/>
    <col min="15885" max="15885" width="10.109375" style="268" bestFit="1" customWidth="1"/>
    <col min="15886" max="16129" width="9.109375" style="268"/>
    <col min="16130" max="16130" width="38.109375" style="268" customWidth="1"/>
    <col min="16131" max="16131" width="11.88671875" style="268" customWidth="1"/>
    <col min="16132" max="16132" width="10.5546875" style="268" customWidth="1"/>
    <col min="16133" max="16133" width="11" style="268" customWidth="1"/>
    <col min="16134" max="16136" width="10" style="268" bestFit="1" customWidth="1"/>
    <col min="16137" max="16137" width="11.44140625" style="268" bestFit="1" customWidth="1"/>
    <col min="16138" max="16139" width="9.109375" style="268"/>
    <col min="16140" max="16140" width="29.5546875" style="268" customWidth="1"/>
    <col min="16141" max="16141" width="10.109375" style="268" bestFit="1" customWidth="1"/>
    <col min="16142" max="16384" width="9.109375" style="268"/>
  </cols>
  <sheetData>
    <row r="1" spans="1:13" x14ac:dyDescent="0.3">
      <c r="A1" s="267"/>
      <c r="I1" s="272" t="s">
        <v>61</v>
      </c>
      <c r="J1" s="267"/>
      <c r="K1" s="267"/>
      <c r="L1" s="269"/>
    </row>
    <row r="2" spans="1:13" ht="33" customHeight="1" x14ac:dyDescent="0.3">
      <c r="A2" s="287" t="s">
        <v>252</v>
      </c>
      <c r="B2" s="287"/>
      <c r="C2" s="287"/>
      <c r="D2" s="287"/>
      <c r="E2" s="287"/>
      <c r="F2" s="287"/>
      <c r="G2" s="287"/>
      <c r="H2" s="287"/>
      <c r="I2" s="287"/>
      <c r="J2" s="287"/>
      <c r="K2" s="287"/>
    </row>
    <row r="3" spans="1:13" ht="15.75" customHeight="1" x14ac:dyDescent="0.3">
      <c r="A3" s="288" t="s">
        <v>538</v>
      </c>
      <c r="B3" s="288"/>
      <c r="C3" s="288"/>
      <c r="D3" s="288"/>
      <c r="E3" s="288"/>
      <c r="F3" s="288"/>
      <c r="G3" s="288"/>
      <c r="H3" s="288"/>
      <c r="I3" s="288"/>
      <c r="J3" s="288"/>
      <c r="K3" s="288"/>
    </row>
    <row r="4" spans="1:13" x14ac:dyDescent="0.25">
      <c r="C4" s="270"/>
      <c r="F4" s="270"/>
      <c r="J4" s="289" t="s">
        <v>312</v>
      </c>
      <c r="K4" s="289"/>
    </row>
    <row r="5" spans="1:13" x14ac:dyDescent="0.3">
      <c r="A5" s="290" t="s">
        <v>2</v>
      </c>
      <c r="B5" s="290" t="s">
        <v>484</v>
      </c>
      <c r="C5" s="290" t="s">
        <v>488</v>
      </c>
      <c r="D5" s="290" t="s">
        <v>205</v>
      </c>
      <c r="E5" s="290"/>
      <c r="F5" s="290" t="s">
        <v>111</v>
      </c>
      <c r="G5" s="290" t="s">
        <v>205</v>
      </c>
      <c r="H5" s="290"/>
      <c r="I5" s="290" t="s">
        <v>112</v>
      </c>
      <c r="J5" s="290"/>
      <c r="K5" s="290"/>
    </row>
    <row r="6" spans="1:13" ht="52.95" customHeight="1" x14ac:dyDescent="0.3">
      <c r="A6" s="290"/>
      <c r="B6" s="290"/>
      <c r="C6" s="290"/>
      <c r="D6" s="179" t="s">
        <v>485</v>
      </c>
      <c r="E6" s="179" t="s">
        <v>486</v>
      </c>
      <c r="F6" s="290"/>
      <c r="G6" s="179" t="s">
        <v>485</v>
      </c>
      <c r="H6" s="179" t="s">
        <v>486</v>
      </c>
      <c r="I6" s="179" t="s">
        <v>208</v>
      </c>
      <c r="J6" s="179" t="s">
        <v>206</v>
      </c>
      <c r="K6" s="179" t="s">
        <v>207</v>
      </c>
    </row>
    <row r="7" spans="1:13" x14ac:dyDescent="0.3">
      <c r="A7" s="273" t="s">
        <v>7</v>
      </c>
      <c r="B7" s="273" t="s">
        <v>8</v>
      </c>
      <c r="C7" s="273" t="s">
        <v>62</v>
      </c>
      <c r="D7" s="273">
        <v>2</v>
      </c>
      <c r="E7" s="273">
        <v>3</v>
      </c>
      <c r="F7" s="273" t="s">
        <v>63</v>
      </c>
      <c r="G7" s="273">
        <v>5</v>
      </c>
      <c r="H7" s="273">
        <v>6</v>
      </c>
      <c r="I7" s="273" t="s">
        <v>64</v>
      </c>
      <c r="J7" s="273" t="s">
        <v>65</v>
      </c>
      <c r="K7" s="273" t="s">
        <v>66</v>
      </c>
    </row>
    <row r="8" spans="1:13" ht="19.2" customHeight="1" x14ac:dyDescent="0.3">
      <c r="A8" s="79"/>
      <c r="B8" s="79" t="s">
        <v>20</v>
      </c>
      <c r="C8" s="80">
        <f>C9+C30+C94</f>
        <v>8277847</v>
      </c>
      <c r="D8" s="80">
        <f>D9+D30+D94</f>
        <v>4472233.0010000002</v>
      </c>
      <c r="E8" s="80">
        <f>E9+E30+E94</f>
        <v>3805613.9989999998</v>
      </c>
      <c r="F8" s="80">
        <f>G8+H8</f>
        <v>10817727.622931</v>
      </c>
      <c r="G8" s="80">
        <f>G9+G30+G94+G95</f>
        <v>5729218.9770490006</v>
      </c>
      <c r="H8" s="80">
        <f>H9+H30+H94+H95</f>
        <v>5088508.6458820002</v>
      </c>
      <c r="I8" s="81">
        <f>IF(C8=0,0,F8/C8*100)</f>
        <v>130.68286503641588</v>
      </c>
      <c r="J8" s="81">
        <f>IF(D8=0,0,G8/D8*100)</f>
        <v>128.10645097802228</v>
      </c>
      <c r="K8" s="81">
        <f>IF(E8=0,0,H8/E8*100)</f>
        <v>133.71058250308903</v>
      </c>
      <c r="L8" s="270"/>
      <c r="M8" s="270"/>
    </row>
    <row r="9" spans="1:13" ht="27.6" x14ac:dyDescent="0.3">
      <c r="A9" s="82" t="s">
        <v>7</v>
      </c>
      <c r="B9" s="83" t="s">
        <v>272</v>
      </c>
      <c r="C9" s="76">
        <f>C10+C29</f>
        <v>6295073</v>
      </c>
      <c r="D9" s="76">
        <f t="shared" ref="D9:H9" si="0">D10+D29</f>
        <v>3102126.0010000002</v>
      </c>
      <c r="E9" s="76">
        <f t="shared" si="0"/>
        <v>3192946.9989999998</v>
      </c>
      <c r="F9" s="76">
        <f t="shared" si="0"/>
        <v>5893438.539979999</v>
      </c>
      <c r="G9" s="76">
        <f t="shared" si="0"/>
        <v>2177667.4051260003</v>
      </c>
      <c r="H9" s="76">
        <f t="shared" si="0"/>
        <v>3715771.1348539991</v>
      </c>
      <c r="I9" s="84">
        <f t="shared" ref="I9:K24" si="1">IF(C9=0,0,F9/C9*100)</f>
        <v>93.619860166514329</v>
      </c>
      <c r="J9" s="84">
        <f t="shared" si="1"/>
        <v>70.199192567420155</v>
      </c>
      <c r="K9" s="84">
        <f t="shared" si="1"/>
        <v>116.37434432885176</v>
      </c>
      <c r="L9" s="270"/>
    </row>
    <row r="10" spans="1:13" x14ac:dyDescent="0.3">
      <c r="A10" s="82" t="s">
        <v>273</v>
      </c>
      <c r="B10" s="83" t="s">
        <v>67</v>
      </c>
      <c r="C10" s="76">
        <f t="shared" ref="C10:H10" si="2">C11+C21+C25+C26+C27+C28</f>
        <v>6278973</v>
      </c>
      <c r="D10" s="76">
        <f t="shared" si="2"/>
        <v>3086026.0010000002</v>
      </c>
      <c r="E10" s="76">
        <f t="shared" si="2"/>
        <v>3192946.9989999998</v>
      </c>
      <c r="F10" s="76">
        <f t="shared" si="2"/>
        <v>5882726.3525759988</v>
      </c>
      <c r="G10" s="76">
        <f t="shared" si="2"/>
        <v>2166955.2177220001</v>
      </c>
      <c r="H10" s="76">
        <f t="shared" si="2"/>
        <v>3715771.1348539991</v>
      </c>
      <c r="I10" s="84">
        <f t="shared" si="1"/>
        <v>93.689307989953122</v>
      </c>
      <c r="J10" s="84">
        <f t="shared" si="1"/>
        <v>70.218307202201686</v>
      </c>
      <c r="K10" s="84">
        <f t="shared" si="1"/>
        <v>116.37434432885176</v>
      </c>
    </row>
    <row r="11" spans="1:13" x14ac:dyDescent="0.3">
      <c r="A11" s="82" t="s">
        <v>41</v>
      </c>
      <c r="B11" s="83" t="s">
        <v>23</v>
      </c>
      <c r="C11" s="85">
        <f>C12+C19+C20</f>
        <v>825372</v>
      </c>
      <c r="D11" s="85">
        <f>D12+D19+D20</f>
        <v>495589.00099999999</v>
      </c>
      <c r="E11" s="85">
        <f>C11-D11</f>
        <v>329782.99900000001</v>
      </c>
      <c r="F11" s="76">
        <f>G11+H11</f>
        <v>1228339.7171729999</v>
      </c>
      <c r="G11" s="86">
        <f>G12+G19+G20</f>
        <v>526179.54010899994</v>
      </c>
      <c r="H11" s="86">
        <f>H12+H19+H20</f>
        <v>702160.17706399981</v>
      </c>
      <c r="I11" s="84">
        <f t="shared" si="1"/>
        <v>148.82255724364285</v>
      </c>
      <c r="J11" s="84">
        <f t="shared" si="1"/>
        <v>106.17256215276657</v>
      </c>
      <c r="K11" s="84">
        <f t="shared" si="1"/>
        <v>212.91582015845512</v>
      </c>
    </row>
    <row r="12" spans="1:13" x14ac:dyDescent="0.3">
      <c r="A12" s="87">
        <v>1</v>
      </c>
      <c r="B12" s="78" t="s">
        <v>68</v>
      </c>
      <c r="C12" s="77">
        <f>825372-C19</f>
        <v>822528</v>
      </c>
      <c r="D12" s="77">
        <f>495589.001-D19</f>
        <v>492745.00099999999</v>
      </c>
      <c r="E12" s="77">
        <f>C12-D12</f>
        <v>329782.99900000001</v>
      </c>
      <c r="F12" s="88">
        <f>'[1]Bieu 51'!E11</f>
        <v>1220519.7125190001</v>
      </c>
      <c r="G12" s="89">
        <f>518359.240109+0.3</f>
        <v>518359.54010899999</v>
      </c>
      <c r="H12" s="89">
        <v>702160.17706399981</v>
      </c>
      <c r="I12" s="90">
        <f t="shared" si="1"/>
        <v>148.3864029575893</v>
      </c>
      <c r="J12" s="90">
        <f t="shared" si="1"/>
        <v>105.19833566185687</v>
      </c>
      <c r="K12" s="90">
        <f t="shared" si="1"/>
        <v>212.91582015845512</v>
      </c>
    </row>
    <row r="13" spans="1:13" x14ac:dyDescent="0.3">
      <c r="A13" s="87"/>
      <c r="B13" s="91" t="s">
        <v>487</v>
      </c>
      <c r="C13" s="77"/>
      <c r="D13" s="77"/>
      <c r="E13" s="77"/>
      <c r="F13" s="87"/>
      <c r="G13" s="89"/>
      <c r="H13" s="89"/>
      <c r="I13" s="90">
        <f t="shared" si="1"/>
        <v>0</v>
      </c>
      <c r="J13" s="90">
        <f t="shared" si="1"/>
        <v>0</v>
      </c>
      <c r="K13" s="90">
        <f t="shared" si="1"/>
        <v>0</v>
      </c>
    </row>
    <row r="14" spans="1:13" x14ac:dyDescent="0.3">
      <c r="A14" s="87" t="s">
        <v>12</v>
      </c>
      <c r="B14" s="91" t="s">
        <v>69</v>
      </c>
      <c r="C14" s="77">
        <f>D14+E14</f>
        <v>63797.473280999999</v>
      </c>
      <c r="D14" s="77">
        <v>8725.8109999999997</v>
      </c>
      <c r="E14" s="77">
        <f>'[1]Bieu 58_'!E10</f>
        <v>55071.662280999997</v>
      </c>
      <c r="F14" s="88">
        <f>G14+H14</f>
        <v>128744.078041</v>
      </c>
      <c r="G14" s="89">
        <v>15844.788999999999</v>
      </c>
      <c r="H14" s="89">
        <f>'[1]Bieu 58_'!R10</f>
        <v>112899.289041</v>
      </c>
      <c r="I14" s="90">
        <f t="shared" si="1"/>
        <v>201.8012178537833</v>
      </c>
      <c r="J14" s="90">
        <f t="shared" si="1"/>
        <v>181.58528760249334</v>
      </c>
      <c r="K14" s="90">
        <f t="shared" si="1"/>
        <v>205.0043241203395</v>
      </c>
    </row>
    <row r="15" spans="1:13" x14ac:dyDescent="0.3">
      <c r="A15" s="87" t="s">
        <v>12</v>
      </c>
      <c r="B15" s="91" t="s">
        <v>70</v>
      </c>
      <c r="C15" s="77">
        <v>22000</v>
      </c>
      <c r="D15" s="77">
        <v>22000</v>
      </c>
      <c r="E15" s="77">
        <f t="shared" ref="E15:E20" si="3">C15-D15</f>
        <v>0</v>
      </c>
      <c r="F15" s="88">
        <f>G15+H15</f>
        <v>16028.706697</v>
      </c>
      <c r="G15" s="89">
        <v>16026.487697</v>
      </c>
      <c r="H15" s="89">
        <f>'[1]Bieu 51'!E14-'[1]bieu 53'!G15</f>
        <v>2.2189999999991414</v>
      </c>
      <c r="I15" s="90">
        <f t="shared" si="1"/>
        <v>72.85775771363636</v>
      </c>
      <c r="J15" s="90">
        <f t="shared" si="1"/>
        <v>72.847671349999999</v>
      </c>
      <c r="K15" s="90">
        <f t="shared" si="1"/>
        <v>0</v>
      </c>
    </row>
    <row r="16" spans="1:13" x14ac:dyDescent="0.3">
      <c r="A16" s="87"/>
      <c r="B16" s="91" t="s">
        <v>209</v>
      </c>
      <c r="C16" s="77"/>
      <c r="D16" s="77"/>
      <c r="E16" s="77">
        <f t="shared" si="3"/>
        <v>0</v>
      </c>
      <c r="F16" s="87"/>
      <c r="G16" s="89"/>
      <c r="H16" s="89"/>
      <c r="I16" s="90">
        <f t="shared" si="1"/>
        <v>0</v>
      </c>
      <c r="J16" s="90">
        <f t="shared" si="1"/>
        <v>0</v>
      </c>
      <c r="K16" s="90">
        <f t="shared" si="1"/>
        <v>0</v>
      </c>
    </row>
    <row r="17" spans="1:12" x14ac:dyDescent="0.3">
      <c r="A17" s="87" t="s">
        <v>12</v>
      </c>
      <c r="B17" s="91" t="s">
        <v>71</v>
      </c>
      <c r="C17" s="77">
        <f>D17+E17</f>
        <v>197156</v>
      </c>
      <c r="D17" s="77">
        <f>68737-D19</f>
        <v>65893</v>
      </c>
      <c r="E17" s="77">
        <f>6127+125136</f>
        <v>131263</v>
      </c>
      <c r="F17" s="88">
        <f>G17+H17</f>
        <v>135531.02574900002</v>
      </c>
      <c r="G17" s="89">
        <v>135531.02574900002</v>
      </c>
      <c r="H17" s="89"/>
      <c r="I17" s="90">
        <f t="shared" si="1"/>
        <v>68.743038887479983</v>
      </c>
      <c r="J17" s="90">
        <f t="shared" si="1"/>
        <v>205.6834955898199</v>
      </c>
      <c r="K17" s="90">
        <f t="shared" si="1"/>
        <v>0</v>
      </c>
    </row>
    <row r="18" spans="1:12" x14ac:dyDescent="0.3">
      <c r="A18" s="87" t="s">
        <v>12</v>
      </c>
      <c r="B18" s="91" t="s">
        <v>72</v>
      </c>
      <c r="C18" s="77">
        <v>85000</v>
      </c>
      <c r="D18" s="77">
        <v>85000</v>
      </c>
      <c r="E18" s="77">
        <f t="shared" si="3"/>
        <v>0</v>
      </c>
      <c r="F18" s="88">
        <f>G18+H18</f>
        <v>100844.6722</v>
      </c>
      <c r="G18" s="89">
        <v>100844.6722</v>
      </c>
      <c r="H18" s="89"/>
      <c r="I18" s="90">
        <f t="shared" si="1"/>
        <v>118.64079082352941</v>
      </c>
      <c r="J18" s="90">
        <f t="shared" si="1"/>
        <v>118.64079082352941</v>
      </c>
      <c r="K18" s="90">
        <f t="shared" si="1"/>
        <v>0</v>
      </c>
    </row>
    <row r="19" spans="1:12" ht="69" x14ac:dyDescent="0.3">
      <c r="A19" s="87">
        <v>2</v>
      </c>
      <c r="B19" s="78" t="s">
        <v>210</v>
      </c>
      <c r="C19" s="92">
        <f>D19+E19</f>
        <v>2844</v>
      </c>
      <c r="D19" s="92">
        <f>'[1]bieu 52'!C27</f>
        <v>2844</v>
      </c>
      <c r="E19" s="77"/>
      <c r="F19" s="92">
        <f>G19+H19</f>
        <v>7820</v>
      </c>
      <c r="G19" s="92">
        <v>7820</v>
      </c>
      <c r="H19" s="92"/>
      <c r="I19" s="90">
        <f t="shared" si="1"/>
        <v>274.9648382559775</v>
      </c>
      <c r="J19" s="90">
        <f t="shared" si="1"/>
        <v>274.9648382559775</v>
      </c>
      <c r="K19" s="90">
        <f t="shared" si="1"/>
        <v>0</v>
      </c>
    </row>
    <row r="20" spans="1:12" x14ac:dyDescent="0.3">
      <c r="A20" s="87">
        <v>3</v>
      </c>
      <c r="B20" s="78" t="s">
        <v>73</v>
      </c>
      <c r="C20" s="92">
        <v>0</v>
      </c>
      <c r="D20" s="92">
        <v>0</v>
      </c>
      <c r="E20" s="77">
        <f t="shared" si="3"/>
        <v>0</v>
      </c>
      <c r="F20" s="92"/>
      <c r="G20" s="92"/>
      <c r="H20" s="92"/>
      <c r="I20" s="90">
        <f t="shared" si="1"/>
        <v>0</v>
      </c>
      <c r="J20" s="90">
        <f t="shared" si="1"/>
        <v>0</v>
      </c>
      <c r="K20" s="90">
        <f t="shared" si="1"/>
        <v>0</v>
      </c>
    </row>
    <row r="21" spans="1:12" s="267" customFormat="1" x14ac:dyDescent="0.3">
      <c r="A21" s="82" t="s">
        <v>27</v>
      </c>
      <c r="B21" s="83" t="s">
        <v>24</v>
      </c>
      <c r="C21" s="85">
        <v>4445685</v>
      </c>
      <c r="D21" s="85">
        <v>1641206</v>
      </c>
      <c r="E21" s="85">
        <f>C21-D21</f>
        <v>2804479</v>
      </c>
      <c r="F21" s="85">
        <f>G21+H21</f>
        <v>4579953.3867929997</v>
      </c>
      <c r="G21" s="85">
        <f>1880184.894839-G38-'[1]Bieu 61_'!V13</f>
        <v>1566342.429003</v>
      </c>
      <c r="H21" s="85">
        <f>'[1]Bieu 51'!E20-'[1]bieu 53'!G21</f>
        <v>3013610.9577899994</v>
      </c>
      <c r="I21" s="84">
        <f t="shared" si="1"/>
        <v>103.02019569072031</v>
      </c>
      <c r="J21" s="84">
        <f t="shared" si="1"/>
        <v>95.438502479457171</v>
      </c>
      <c r="K21" s="84">
        <f t="shared" si="1"/>
        <v>107.45706984398882</v>
      </c>
    </row>
    <row r="22" spans="1:12" x14ac:dyDescent="0.3">
      <c r="A22" s="87"/>
      <c r="B22" s="91" t="s">
        <v>74</v>
      </c>
      <c r="C22" s="92"/>
      <c r="D22" s="92"/>
      <c r="E22" s="92"/>
      <c r="F22" s="92"/>
      <c r="G22" s="92"/>
      <c r="H22" s="92"/>
      <c r="I22" s="90">
        <f t="shared" si="1"/>
        <v>0</v>
      </c>
      <c r="J22" s="90">
        <f t="shared" si="1"/>
        <v>0</v>
      </c>
      <c r="K22" s="90">
        <f t="shared" si="1"/>
        <v>0</v>
      </c>
      <c r="L22" s="270"/>
    </row>
    <row r="23" spans="1:12" x14ac:dyDescent="0.3">
      <c r="A23" s="87">
        <v>1</v>
      </c>
      <c r="B23" s="91" t="s">
        <v>69</v>
      </c>
      <c r="C23" s="92">
        <v>1963710</v>
      </c>
      <c r="D23" s="92">
        <v>380322</v>
      </c>
      <c r="E23" s="92">
        <f t="shared" ref="E23:E28" si="4">C23-D23</f>
        <v>1583388</v>
      </c>
      <c r="F23" s="88">
        <f>G23+H23</f>
        <v>1945476.5538330001</v>
      </c>
      <c r="G23" s="92">
        <f>407229.413322-G48-G49-G50-G53-G58-G59-G88</f>
        <v>363930.52732200007</v>
      </c>
      <c r="H23" s="92">
        <f>1633938.272761-H48-H49-H50-H53-H58-H59-H88</f>
        <v>1581546.026511</v>
      </c>
      <c r="I23" s="90">
        <f t="shared" si="1"/>
        <v>99.071479690636608</v>
      </c>
      <c r="J23" s="90">
        <f t="shared" si="1"/>
        <v>95.690106625964333</v>
      </c>
      <c r="K23" s="90">
        <f t="shared" si="1"/>
        <v>99.88366884875974</v>
      </c>
    </row>
    <row r="24" spans="1:12" x14ac:dyDescent="0.3">
      <c r="A24" s="87">
        <v>2</v>
      </c>
      <c r="B24" s="91" t="s">
        <v>70</v>
      </c>
      <c r="C24" s="92">
        <v>16390</v>
      </c>
      <c r="D24" s="92">
        <v>14890</v>
      </c>
      <c r="E24" s="92">
        <f t="shared" si="4"/>
        <v>1500</v>
      </c>
      <c r="F24" s="88">
        <f>G24+H24</f>
        <v>11706.385414</v>
      </c>
      <c r="G24" s="92">
        <v>10369.584934</v>
      </c>
      <c r="H24" s="92">
        <f>'[1]Bieu 51'!E23-'[1]bieu 53'!G24</f>
        <v>1336.8004799999999</v>
      </c>
      <c r="I24" s="90">
        <f t="shared" si="1"/>
        <v>71.423950054911529</v>
      </c>
      <c r="J24" s="90">
        <f t="shared" si="1"/>
        <v>69.641268865010076</v>
      </c>
      <c r="K24" s="90">
        <f t="shared" si="1"/>
        <v>89.120031999999995</v>
      </c>
    </row>
    <row r="25" spans="1:12" s="267" customFormat="1" ht="27.6" x14ac:dyDescent="0.3">
      <c r="A25" s="82" t="s">
        <v>31</v>
      </c>
      <c r="B25" s="83" t="s">
        <v>259</v>
      </c>
      <c r="C25" s="85">
        <v>1300</v>
      </c>
      <c r="D25" s="85">
        <v>1300</v>
      </c>
      <c r="E25" s="85">
        <f t="shared" si="4"/>
        <v>0</v>
      </c>
      <c r="F25" s="85">
        <f>G25+H25</f>
        <v>18520.929</v>
      </c>
      <c r="G25" s="85">
        <v>18520.929</v>
      </c>
      <c r="H25" s="85"/>
      <c r="I25" s="84">
        <f t="shared" ref="I25:K88" si="5">IF(C25=0,0,F25/C25*100)</f>
        <v>1424.6868461538461</v>
      </c>
      <c r="J25" s="84">
        <f t="shared" si="5"/>
        <v>1424.6868461538461</v>
      </c>
      <c r="K25" s="84">
        <f t="shared" si="5"/>
        <v>0</v>
      </c>
      <c r="L25" s="271"/>
    </row>
    <row r="26" spans="1:12" s="267" customFormat="1" x14ac:dyDescent="0.3">
      <c r="A26" s="82" t="s">
        <v>58</v>
      </c>
      <c r="B26" s="83" t="s">
        <v>25</v>
      </c>
      <c r="C26" s="85">
        <v>1000</v>
      </c>
      <c r="D26" s="85">
        <v>1000</v>
      </c>
      <c r="E26" s="85">
        <f t="shared" si="4"/>
        <v>0</v>
      </c>
      <c r="F26" s="85">
        <f>G26+H26</f>
        <v>1000</v>
      </c>
      <c r="G26" s="85">
        <v>1000</v>
      </c>
      <c r="H26" s="85"/>
      <c r="I26" s="84">
        <f t="shared" si="5"/>
        <v>100</v>
      </c>
      <c r="J26" s="84">
        <f t="shared" si="5"/>
        <v>100</v>
      </c>
      <c r="K26" s="84">
        <f t="shared" si="5"/>
        <v>0</v>
      </c>
    </row>
    <row r="27" spans="1:12" s="267" customFormat="1" x14ac:dyDescent="0.3">
      <c r="A27" s="82" t="s">
        <v>75</v>
      </c>
      <c r="B27" s="83" t="s">
        <v>26</v>
      </c>
      <c r="C27" s="85">
        <v>125616</v>
      </c>
      <c r="D27" s="85">
        <v>66931</v>
      </c>
      <c r="E27" s="85">
        <f t="shared" si="4"/>
        <v>58685</v>
      </c>
      <c r="F27" s="85"/>
      <c r="G27" s="85"/>
      <c r="H27" s="85"/>
      <c r="I27" s="84">
        <f t="shared" si="5"/>
        <v>0</v>
      </c>
      <c r="J27" s="84">
        <f t="shared" si="5"/>
        <v>0</v>
      </c>
      <c r="K27" s="84">
        <f t="shared" si="5"/>
        <v>0</v>
      </c>
    </row>
    <row r="28" spans="1:12" s="267" customFormat="1" ht="41.4" x14ac:dyDescent="0.3">
      <c r="A28" s="82" t="s">
        <v>76</v>
      </c>
      <c r="B28" s="83" t="s">
        <v>274</v>
      </c>
      <c r="C28" s="85">
        <v>880000</v>
      </c>
      <c r="D28" s="85">
        <v>880000</v>
      </c>
      <c r="E28" s="85">
        <f t="shared" si="4"/>
        <v>0</v>
      </c>
      <c r="F28" s="93">
        <f>G28+H28</f>
        <v>54912.319609999999</v>
      </c>
      <c r="G28" s="94">
        <v>54912.319609999999</v>
      </c>
      <c r="H28" s="94"/>
      <c r="I28" s="84">
        <f t="shared" si="5"/>
        <v>6.2400363193181816</v>
      </c>
      <c r="J28" s="84">
        <f t="shared" si="5"/>
        <v>6.2400363193181816</v>
      </c>
      <c r="K28" s="84">
        <f t="shared" si="5"/>
        <v>0</v>
      </c>
    </row>
    <row r="29" spans="1:12" s="267" customFormat="1" x14ac:dyDescent="0.3">
      <c r="A29" s="82" t="s">
        <v>275</v>
      </c>
      <c r="B29" s="83" t="s">
        <v>276</v>
      </c>
      <c r="C29" s="76">
        <f>D29+E29</f>
        <v>16100</v>
      </c>
      <c r="D29" s="76">
        <v>16100</v>
      </c>
      <c r="E29" s="76"/>
      <c r="F29" s="93">
        <f>G29+H29</f>
        <v>10712.187403999998</v>
      </c>
      <c r="G29" s="94">
        <v>10712.187403999998</v>
      </c>
      <c r="H29" s="94"/>
      <c r="I29" s="84">
        <f t="shared" si="5"/>
        <v>66.535325490683221</v>
      </c>
      <c r="J29" s="84">
        <f t="shared" si="5"/>
        <v>66.535325490683221</v>
      </c>
      <c r="K29" s="84">
        <f t="shared" si="5"/>
        <v>0</v>
      </c>
    </row>
    <row r="30" spans="1:12" x14ac:dyDescent="0.3">
      <c r="A30" s="82" t="s">
        <v>8</v>
      </c>
      <c r="B30" s="83" t="s">
        <v>77</v>
      </c>
      <c r="C30" s="85">
        <f>C31+C34</f>
        <v>1982774</v>
      </c>
      <c r="D30" s="85">
        <f>D31+D34</f>
        <v>1370107</v>
      </c>
      <c r="E30" s="85">
        <f>C30-D30</f>
        <v>612667</v>
      </c>
      <c r="F30" s="85">
        <f>F31+F34</f>
        <v>2122371.7836420001</v>
      </c>
      <c r="G30" s="85">
        <f>G31+G34</f>
        <v>1507032.0366229999</v>
      </c>
      <c r="H30" s="85">
        <f>H31+H34</f>
        <v>615339.747019</v>
      </c>
      <c r="I30" s="84">
        <f t="shared" si="5"/>
        <v>107.04052926062172</v>
      </c>
      <c r="J30" s="84">
        <f t="shared" si="5"/>
        <v>109.99374768707845</v>
      </c>
      <c r="K30" s="84">
        <f t="shared" si="5"/>
        <v>100.43624791591516</v>
      </c>
      <c r="L30" s="270"/>
    </row>
    <row r="31" spans="1:12" x14ac:dyDescent="0.3">
      <c r="A31" s="82" t="s">
        <v>41</v>
      </c>
      <c r="B31" s="83" t="s">
        <v>29</v>
      </c>
      <c r="C31" s="85">
        <f>D31+E31</f>
        <v>661008</v>
      </c>
      <c r="D31" s="85">
        <f>'[1]Bieu 61_'!C13</f>
        <v>156888</v>
      </c>
      <c r="E31" s="85">
        <f>'[1]Bieu 61_'!C35</f>
        <v>504120</v>
      </c>
      <c r="F31" s="85">
        <f>F32+F33</f>
        <v>690045.38341300003</v>
      </c>
      <c r="G31" s="85">
        <f>G32+G33</f>
        <v>165821.893644</v>
      </c>
      <c r="H31" s="85">
        <f>H32+H33</f>
        <v>524223.48976899998</v>
      </c>
      <c r="I31" s="84">
        <f t="shared" si="5"/>
        <v>104.39289439961392</v>
      </c>
      <c r="J31" s="84">
        <f t="shared" si="5"/>
        <v>105.69444039314671</v>
      </c>
      <c r="K31" s="84">
        <f t="shared" si="5"/>
        <v>103.98783816730143</v>
      </c>
    </row>
    <row r="32" spans="1:12" x14ac:dyDescent="0.3">
      <c r="A32" s="87">
        <v>1</v>
      </c>
      <c r="B32" s="78" t="s">
        <v>211</v>
      </c>
      <c r="C32" s="92">
        <f>D32+E32</f>
        <v>372490</v>
      </c>
      <c r="D32" s="92">
        <f>'[1]Bieu 61_'!M13</f>
        <v>9990</v>
      </c>
      <c r="E32" s="92">
        <f>'[1]Bieu 61_'!M35</f>
        <v>362500</v>
      </c>
      <c r="F32" s="92">
        <f>G32+H32</f>
        <v>373067.46099400002</v>
      </c>
      <c r="G32" s="92">
        <f>'[1]Bieu 61_Hien vo'!AD13</f>
        <v>5657.8178740000003</v>
      </c>
      <c r="H32" s="92">
        <f>'[1]Bieu 61_'!AD35</f>
        <v>367409.64312000002</v>
      </c>
      <c r="I32" s="90">
        <f t="shared" si="5"/>
        <v>100.1550272474429</v>
      </c>
      <c r="J32" s="90">
        <f t="shared" si="5"/>
        <v>56.634813553553556</v>
      </c>
      <c r="K32" s="90">
        <f t="shared" si="5"/>
        <v>101.35438430896554</v>
      </c>
    </row>
    <row r="33" spans="1:13" x14ac:dyDescent="0.3">
      <c r="A33" s="87">
        <v>2</v>
      </c>
      <c r="B33" s="78" t="s">
        <v>212</v>
      </c>
      <c r="C33" s="92">
        <f>D33+E33</f>
        <v>288518</v>
      </c>
      <c r="D33" s="92">
        <f>'[1]Bieu 61_'!F13</f>
        <v>146898</v>
      </c>
      <c r="E33" s="92">
        <f>'[1]Bieu 61_'!F35</f>
        <v>141620</v>
      </c>
      <c r="F33" s="92">
        <f>G33+H33</f>
        <v>316977.92241899995</v>
      </c>
      <c r="G33" s="92">
        <f>'[1]Bieu 61_'!W13</f>
        <v>160164.07577</v>
      </c>
      <c r="H33" s="92">
        <f>'[1]Bieu 61_'!W35</f>
        <v>156813.84664899998</v>
      </c>
      <c r="I33" s="90">
        <f t="shared" si="5"/>
        <v>109.86417569059815</v>
      </c>
      <c r="J33" s="90">
        <f t="shared" si="5"/>
        <v>109.03080761480754</v>
      </c>
      <c r="K33" s="90">
        <f t="shared" si="5"/>
        <v>110.72860235065667</v>
      </c>
    </row>
    <row r="34" spans="1:13" x14ac:dyDescent="0.3">
      <c r="A34" s="82" t="s">
        <v>27</v>
      </c>
      <c r="B34" s="83" t="s">
        <v>213</v>
      </c>
      <c r="C34" s="85">
        <f t="shared" ref="C34:H34" si="6">C35+C38</f>
        <v>1321766</v>
      </c>
      <c r="D34" s="85">
        <f t="shared" si="6"/>
        <v>1213219</v>
      </c>
      <c r="E34" s="85">
        <f t="shared" si="6"/>
        <v>108547</v>
      </c>
      <c r="F34" s="85">
        <f t="shared" si="6"/>
        <v>1432326.400229</v>
      </c>
      <c r="G34" s="85">
        <f t="shared" si="6"/>
        <v>1341210.142979</v>
      </c>
      <c r="H34" s="85">
        <f t="shared" si="6"/>
        <v>91116.257249999995</v>
      </c>
      <c r="I34" s="84">
        <f t="shared" si="5"/>
        <v>108.36459707913504</v>
      </c>
      <c r="J34" s="84">
        <f t="shared" si="5"/>
        <v>110.54971468292206</v>
      </c>
      <c r="K34" s="84">
        <f t="shared" si="5"/>
        <v>83.941755414705142</v>
      </c>
    </row>
    <row r="35" spans="1:13" x14ac:dyDescent="0.3">
      <c r="A35" s="82" t="s">
        <v>214</v>
      </c>
      <c r="B35" s="83" t="s">
        <v>215</v>
      </c>
      <c r="C35" s="85">
        <f>C36+C37</f>
        <v>756675</v>
      </c>
      <c r="D35" s="85">
        <f>D36+D37</f>
        <v>756675</v>
      </c>
      <c r="E35" s="85">
        <f>C35-D35</f>
        <v>0</v>
      </c>
      <c r="F35" s="85">
        <f>F36+F37</f>
        <v>1039194.495017</v>
      </c>
      <c r="G35" s="85">
        <f>G36+G37</f>
        <v>1039194.495017</v>
      </c>
      <c r="H35" s="85">
        <f>H36+H37</f>
        <v>0</v>
      </c>
      <c r="I35" s="84">
        <f t="shared" si="5"/>
        <v>137.33696699600225</v>
      </c>
      <c r="J35" s="84">
        <f t="shared" si="5"/>
        <v>137.33696699600225</v>
      </c>
      <c r="K35" s="84">
        <f t="shared" si="5"/>
        <v>0</v>
      </c>
    </row>
    <row r="36" spans="1:13" x14ac:dyDescent="0.3">
      <c r="A36" s="87">
        <v>1</v>
      </c>
      <c r="B36" s="78" t="s">
        <v>151</v>
      </c>
      <c r="C36" s="92">
        <f>D36+E36</f>
        <v>319125</v>
      </c>
      <c r="D36" s="92">
        <v>319125</v>
      </c>
      <c r="E36" s="92"/>
      <c r="F36" s="92">
        <f>G36+H36</f>
        <v>241926.61581300001</v>
      </c>
      <c r="G36" s="92">
        <v>241926.61581300001</v>
      </c>
      <c r="H36" s="92"/>
      <c r="I36" s="90">
        <f t="shared" si="5"/>
        <v>75.809358656639247</v>
      </c>
      <c r="J36" s="90">
        <f t="shared" si="5"/>
        <v>75.809358656639247</v>
      </c>
      <c r="K36" s="90">
        <f t="shared" si="5"/>
        <v>0</v>
      </c>
    </row>
    <row r="37" spans="1:13" x14ac:dyDescent="0.3">
      <c r="A37" s="87">
        <v>2</v>
      </c>
      <c r="B37" s="78" t="s">
        <v>130</v>
      </c>
      <c r="C37" s="92">
        <f>D37+E37</f>
        <v>437550</v>
      </c>
      <c r="D37" s="92">
        <v>437550</v>
      </c>
      <c r="E37" s="92"/>
      <c r="F37" s="92">
        <f>G37+H37</f>
        <v>797267.879204</v>
      </c>
      <c r="G37" s="92">
        <v>797267.879204</v>
      </c>
      <c r="H37" s="92"/>
      <c r="I37" s="90">
        <f t="shared" si="5"/>
        <v>182.21183389418351</v>
      </c>
      <c r="J37" s="90">
        <f t="shared" si="5"/>
        <v>182.21183389418351</v>
      </c>
      <c r="K37" s="90">
        <f t="shared" si="5"/>
        <v>0</v>
      </c>
    </row>
    <row r="38" spans="1:13" x14ac:dyDescent="0.3">
      <c r="A38" s="82" t="s">
        <v>216</v>
      </c>
      <c r="B38" s="83" t="s">
        <v>217</v>
      </c>
      <c r="C38" s="85">
        <f>C39+C46</f>
        <v>565091</v>
      </c>
      <c r="D38" s="85">
        <f>D39+D46</f>
        <v>456544</v>
      </c>
      <c r="E38" s="85">
        <f>C38-D38</f>
        <v>108547</v>
      </c>
      <c r="F38" s="85">
        <f>F39+F46</f>
        <v>393131.90521200001</v>
      </c>
      <c r="G38" s="85">
        <f>G39+G46</f>
        <v>302015.64796199999</v>
      </c>
      <c r="H38" s="85">
        <f>H39+H46</f>
        <v>91116.257249999995</v>
      </c>
      <c r="I38" s="84">
        <f t="shared" si="5"/>
        <v>69.569663153722146</v>
      </c>
      <c r="J38" s="84">
        <f t="shared" si="5"/>
        <v>66.152582875254083</v>
      </c>
      <c r="K38" s="84">
        <f t="shared" si="5"/>
        <v>83.941755414705142</v>
      </c>
    </row>
    <row r="39" spans="1:13" x14ac:dyDescent="0.3">
      <c r="A39" s="87">
        <v>1</v>
      </c>
      <c r="B39" s="78" t="s">
        <v>131</v>
      </c>
      <c r="C39" s="92">
        <f t="shared" ref="C39:H39" si="7">SUM(C40:C45)</f>
        <v>149330</v>
      </c>
      <c r="D39" s="92">
        <f t="shared" si="7"/>
        <v>149330</v>
      </c>
      <c r="E39" s="92">
        <f t="shared" si="7"/>
        <v>0</v>
      </c>
      <c r="F39" s="92">
        <f t="shared" si="7"/>
        <v>24303.637935999999</v>
      </c>
      <c r="G39" s="92">
        <f t="shared" si="7"/>
        <v>24303.637935999999</v>
      </c>
      <c r="H39" s="92">
        <f t="shared" si="7"/>
        <v>0</v>
      </c>
      <c r="I39" s="90">
        <f t="shared" si="5"/>
        <v>16.275120830375677</v>
      </c>
      <c r="J39" s="90">
        <f t="shared" si="5"/>
        <v>16.275120830375677</v>
      </c>
      <c r="K39" s="90">
        <f t="shared" si="5"/>
        <v>0</v>
      </c>
    </row>
    <row r="40" spans="1:13" ht="55.2" x14ac:dyDescent="0.3">
      <c r="A40" s="87" t="s">
        <v>277</v>
      </c>
      <c r="B40" s="78" t="s">
        <v>278</v>
      </c>
      <c r="C40" s="92">
        <f t="shared" ref="C40:C45" si="8">D40+E40</f>
        <v>4315</v>
      </c>
      <c r="D40" s="92">
        <v>4315</v>
      </c>
      <c r="E40" s="92"/>
      <c r="F40" s="92">
        <f t="shared" ref="F40:F45" si="9">G40+H40</f>
        <v>4006.0955359999998</v>
      </c>
      <c r="G40" s="92">
        <v>4006.0955359999998</v>
      </c>
      <c r="H40" s="92"/>
      <c r="I40" s="90">
        <f t="shared" si="5"/>
        <v>92.841147995365006</v>
      </c>
      <c r="J40" s="90">
        <f t="shared" si="5"/>
        <v>92.841147995365006</v>
      </c>
      <c r="K40" s="90">
        <f t="shared" si="5"/>
        <v>0</v>
      </c>
    </row>
    <row r="41" spans="1:13" ht="55.2" x14ac:dyDescent="0.3">
      <c r="A41" s="87" t="s">
        <v>277</v>
      </c>
      <c r="B41" s="78" t="s">
        <v>279</v>
      </c>
      <c r="C41" s="92">
        <f t="shared" si="8"/>
        <v>4177</v>
      </c>
      <c r="D41" s="92">
        <v>4177</v>
      </c>
      <c r="E41" s="92"/>
      <c r="F41" s="92">
        <f t="shared" si="9"/>
        <v>806.97299999999996</v>
      </c>
      <c r="G41" s="92">
        <v>806.97299999999996</v>
      </c>
      <c r="H41" s="92"/>
      <c r="I41" s="90">
        <f t="shared" si="5"/>
        <v>19.31943978932248</v>
      </c>
      <c r="J41" s="90">
        <f t="shared" si="5"/>
        <v>19.31943978932248</v>
      </c>
      <c r="K41" s="90">
        <f t="shared" si="5"/>
        <v>0</v>
      </c>
    </row>
    <row r="42" spans="1:13" ht="55.2" x14ac:dyDescent="0.3">
      <c r="A42" s="87" t="s">
        <v>277</v>
      </c>
      <c r="B42" s="78" t="s">
        <v>280</v>
      </c>
      <c r="C42" s="92">
        <f t="shared" si="8"/>
        <v>2657</v>
      </c>
      <c r="D42" s="92">
        <v>2657</v>
      </c>
      <c r="E42" s="92"/>
      <c r="F42" s="92">
        <f t="shared" si="9"/>
        <v>557.74054000000001</v>
      </c>
      <c r="G42" s="92">
        <v>557.74054000000001</v>
      </c>
      <c r="H42" s="92"/>
      <c r="I42" s="90">
        <f t="shared" si="5"/>
        <v>20.99136394429808</v>
      </c>
      <c r="J42" s="90">
        <f t="shared" si="5"/>
        <v>20.99136394429808</v>
      </c>
      <c r="K42" s="90">
        <f t="shared" si="5"/>
        <v>0</v>
      </c>
    </row>
    <row r="43" spans="1:13" ht="69" x14ac:dyDescent="0.3">
      <c r="A43" s="87" t="s">
        <v>277</v>
      </c>
      <c r="B43" s="78" t="s">
        <v>281</v>
      </c>
      <c r="C43" s="92">
        <f t="shared" si="8"/>
        <v>4000</v>
      </c>
      <c r="D43" s="92">
        <v>4000</v>
      </c>
      <c r="E43" s="92"/>
      <c r="F43" s="92">
        <f t="shared" si="9"/>
        <v>3644.002</v>
      </c>
      <c r="G43" s="92">
        <v>3644.002</v>
      </c>
      <c r="H43" s="92"/>
      <c r="I43" s="90">
        <f t="shared" si="5"/>
        <v>91.100049999999996</v>
      </c>
      <c r="J43" s="90">
        <f t="shared" si="5"/>
        <v>91.100049999999996</v>
      </c>
      <c r="K43" s="90">
        <f t="shared" si="5"/>
        <v>0</v>
      </c>
    </row>
    <row r="44" spans="1:13" ht="55.2" x14ac:dyDescent="0.3">
      <c r="A44" s="87" t="s">
        <v>277</v>
      </c>
      <c r="B44" s="78" t="s">
        <v>282</v>
      </c>
      <c r="C44" s="92">
        <f t="shared" si="8"/>
        <v>16000</v>
      </c>
      <c r="D44" s="92">
        <v>16000</v>
      </c>
      <c r="E44" s="92"/>
      <c r="F44" s="92">
        <f t="shared" si="9"/>
        <v>15288.826859999999</v>
      </c>
      <c r="G44" s="92">
        <v>15288.826859999999</v>
      </c>
      <c r="H44" s="92"/>
      <c r="I44" s="90">
        <f t="shared" si="5"/>
        <v>95.555167874999995</v>
      </c>
      <c r="J44" s="90">
        <f t="shared" si="5"/>
        <v>95.555167874999995</v>
      </c>
      <c r="K44" s="90">
        <f t="shared" si="5"/>
        <v>0</v>
      </c>
    </row>
    <row r="45" spans="1:13" x14ac:dyDescent="0.3">
      <c r="A45" s="87" t="s">
        <v>277</v>
      </c>
      <c r="B45" s="78" t="s">
        <v>283</v>
      </c>
      <c r="C45" s="92">
        <f t="shared" si="8"/>
        <v>118181</v>
      </c>
      <c r="D45" s="92">
        <v>118181</v>
      </c>
      <c r="E45" s="92"/>
      <c r="F45" s="92">
        <f t="shared" si="9"/>
        <v>0</v>
      </c>
      <c r="G45" s="92"/>
      <c r="H45" s="92"/>
      <c r="I45" s="90">
        <f t="shared" si="5"/>
        <v>0</v>
      </c>
      <c r="J45" s="90">
        <f t="shared" si="5"/>
        <v>0</v>
      </c>
      <c r="K45" s="90">
        <f t="shared" si="5"/>
        <v>0</v>
      </c>
    </row>
    <row r="46" spans="1:13" x14ac:dyDescent="0.3">
      <c r="A46" s="87">
        <v>2</v>
      </c>
      <c r="B46" s="78" t="s">
        <v>130</v>
      </c>
      <c r="C46" s="92">
        <f t="shared" ref="C46:H46" si="10">C47+C48+C49+C50+C53+C57+C61+C62+C63+C68+C73+C74+C75+C76+C77+C78+C81+C91+C92+C93</f>
        <v>415761</v>
      </c>
      <c r="D46" s="92">
        <f t="shared" si="10"/>
        <v>307214</v>
      </c>
      <c r="E46" s="92">
        <f t="shared" si="10"/>
        <v>108547</v>
      </c>
      <c r="F46" s="92">
        <f>F47+F48+F49+F50+F53+F57+F61+F62+F63+F68+F73+F74+F75+F76+F77+F78+F81+F91+F92+F93</f>
        <v>368828.267276</v>
      </c>
      <c r="G46" s="92">
        <f t="shared" si="10"/>
        <v>277712.01002599997</v>
      </c>
      <c r="H46" s="92">
        <f t="shared" si="10"/>
        <v>91116.257249999995</v>
      </c>
      <c r="I46" s="90">
        <f t="shared" si="5"/>
        <v>88.711607696729615</v>
      </c>
      <c r="J46" s="90">
        <f t="shared" si="5"/>
        <v>90.396925278795877</v>
      </c>
      <c r="K46" s="90">
        <f t="shared" si="5"/>
        <v>83.941755414705142</v>
      </c>
      <c r="L46" s="270"/>
      <c r="M46" s="270"/>
    </row>
    <row r="47" spans="1:13" ht="27.6" x14ac:dyDescent="0.3">
      <c r="A47" s="87" t="s">
        <v>12</v>
      </c>
      <c r="B47" s="78" t="s">
        <v>218</v>
      </c>
      <c r="C47" s="92">
        <v>570</v>
      </c>
      <c r="D47" s="92">
        <v>570</v>
      </c>
      <c r="E47" s="92">
        <f>C47-D47</f>
        <v>0</v>
      </c>
      <c r="F47" s="92">
        <f>G47+H47</f>
        <v>570</v>
      </c>
      <c r="G47" s="92">
        <v>570</v>
      </c>
      <c r="H47" s="92"/>
      <c r="I47" s="90">
        <f t="shared" si="5"/>
        <v>100</v>
      </c>
      <c r="J47" s="90">
        <f t="shared" si="5"/>
        <v>100</v>
      </c>
      <c r="K47" s="90">
        <f t="shared" si="5"/>
        <v>0</v>
      </c>
    </row>
    <row r="48" spans="1:13" ht="27.6" x14ac:dyDescent="0.3">
      <c r="A48" s="87" t="s">
        <v>12</v>
      </c>
      <c r="B48" s="78" t="s">
        <v>219</v>
      </c>
      <c r="C48" s="92">
        <f>D48+E48</f>
        <v>39102</v>
      </c>
      <c r="D48" s="92">
        <v>3688</v>
      </c>
      <c r="E48" s="92">
        <v>35414</v>
      </c>
      <c r="F48" s="92">
        <f>G48+H48</f>
        <v>23999.11075</v>
      </c>
      <c r="G48" s="92">
        <v>2690.3710000000001</v>
      </c>
      <c r="H48" s="92">
        <v>21308.739750000001</v>
      </c>
      <c r="I48" s="90">
        <f t="shared" si="5"/>
        <v>61.375660452150782</v>
      </c>
      <c r="J48" s="90">
        <f t="shared" si="5"/>
        <v>72.949322125813453</v>
      </c>
      <c r="K48" s="90">
        <f t="shared" si="5"/>
        <v>60.170383887728022</v>
      </c>
    </row>
    <row r="49" spans="1:11" ht="41.4" x14ac:dyDescent="0.3">
      <c r="A49" s="87" t="s">
        <v>12</v>
      </c>
      <c r="B49" s="78" t="s">
        <v>220</v>
      </c>
      <c r="C49" s="92">
        <v>28852</v>
      </c>
      <c r="D49" s="92">
        <v>0</v>
      </c>
      <c r="E49" s="92">
        <f>C49-D49</f>
        <v>28852</v>
      </c>
      <c r="F49" s="92">
        <f>G49+H49</f>
        <v>25375.298999999999</v>
      </c>
      <c r="G49" s="92"/>
      <c r="H49" s="92">
        <v>25375.298999999999</v>
      </c>
      <c r="I49" s="90">
        <f t="shared" si="5"/>
        <v>87.949878691251911</v>
      </c>
      <c r="J49" s="90">
        <f t="shared" si="5"/>
        <v>0</v>
      </c>
      <c r="K49" s="90">
        <f t="shared" si="5"/>
        <v>87.949878691251911</v>
      </c>
    </row>
    <row r="50" spans="1:11" ht="55.2" x14ac:dyDescent="0.3">
      <c r="A50" s="87" t="s">
        <v>12</v>
      </c>
      <c r="B50" s="78" t="s">
        <v>284</v>
      </c>
      <c r="C50" s="92">
        <f t="shared" ref="C50:H50" si="11">C51+C52</f>
        <v>3696</v>
      </c>
      <c r="D50" s="92">
        <f t="shared" si="11"/>
        <v>2331</v>
      </c>
      <c r="E50" s="92">
        <f t="shared" si="11"/>
        <v>1365</v>
      </c>
      <c r="F50" s="92">
        <f t="shared" si="11"/>
        <v>1666.9675000000002</v>
      </c>
      <c r="G50" s="92">
        <f t="shared" si="11"/>
        <v>551.30000000000007</v>
      </c>
      <c r="H50" s="92">
        <f t="shared" si="11"/>
        <v>1115.6675</v>
      </c>
      <c r="I50" s="90">
        <f t="shared" si="5"/>
        <v>45.101934523809526</v>
      </c>
      <c r="J50" s="90">
        <f t="shared" si="5"/>
        <v>23.650793650793652</v>
      </c>
      <c r="K50" s="90">
        <f t="shared" si="5"/>
        <v>81.733882783882777</v>
      </c>
    </row>
    <row r="51" spans="1:11" ht="41.4" hidden="1" outlineLevel="1" x14ac:dyDescent="0.3">
      <c r="A51" s="87" t="s">
        <v>148</v>
      </c>
      <c r="B51" s="78" t="s">
        <v>285</v>
      </c>
      <c r="C51" s="92">
        <f>D51+E51</f>
        <v>291</v>
      </c>
      <c r="D51" s="92">
        <v>291</v>
      </c>
      <c r="E51" s="92"/>
      <c r="F51" s="92">
        <f>G51+H51</f>
        <v>0</v>
      </c>
      <c r="G51" s="92"/>
      <c r="H51" s="92"/>
      <c r="I51" s="84">
        <f t="shared" si="5"/>
        <v>0</v>
      </c>
      <c r="J51" s="84">
        <f t="shared" si="5"/>
        <v>0</v>
      </c>
      <c r="K51" s="84">
        <f t="shared" si="5"/>
        <v>0</v>
      </c>
    </row>
    <row r="52" spans="1:11" ht="27.6" hidden="1" outlineLevel="1" x14ac:dyDescent="0.3">
      <c r="A52" s="87" t="s">
        <v>148</v>
      </c>
      <c r="B52" s="78" t="s">
        <v>286</v>
      </c>
      <c r="C52" s="92">
        <f>D52+E52</f>
        <v>3405</v>
      </c>
      <c r="D52" s="92">
        <v>2040</v>
      </c>
      <c r="E52" s="92">
        <v>1365</v>
      </c>
      <c r="F52" s="92">
        <f>G52+H52</f>
        <v>1666.9675000000002</v>
      </c>
      <c r="G52" s="92">
        <v>551.30000000000007</v>
      </c>
      <c r="H52" s="92">
        <v>1115.6675</v>
      </c>
      <c r="I52" s="90">
        <f t="shared" si="5"/>
        <v>48.956461086637304</v>
      </c>
      <c r="J52" s="90">
        <f t="shared" si="5"/>
        <v>27.024509803921571</v>
      </c>
      <c r="K52" s="90">
        <f t="shared" si="5"/>
        <v>81.733882783882777</v>
      </c>
    </row>
    <row r="53" spans="1:11" ht="82.8" collapsed="1" x14ac:dyDescent="0.3">
      <c r="A53" s="87" t="s">
        <v>12</v>
      </c>
      <c r="B53" s="78" t="s">
        <v>221</v>
      </c>
      <c r="C53" s="92">
        <f t="shared" ref="C53:H53" si="12">C54+C55+C56</f>
        <v>15596</v>
      </c>
      <c r="D53" s="92">
        <f t="shared" si="12"/>
        <v>14081</v>
      </c>
      <c r="E53" s="92">
        <f t="shared" si="12"/>
        <v>1515</v>
      </c>
      <c r="F53" s="92">
        <f>F54+F55+F56</f>
        <v>10339.678</v>
      </c>
      <c r="G53" s="92">
        <f t="shared" si="12"/>
        <v>8824.6779999999999</v>
      </c>
      <c r="H53" s="92">
        <f t="shared" si="12"/>
        <v>1515</v>
      </c>
      <c r="I53" s="90">
        <f t="shared" si="5"/>
        <v>66.296986406770969</v>
      </c>
      <c r="J53" s="90">
        <f t="shared" si="5"/>
        <v>62.670818833889641</v>
      </c>
      <c r="K53" s="90">
        <f t="shared" si="5"/>
        <v>100</v>
      </c>
    </row>
    <row r="54" spans="1:11" hidden="1" outlineLevel="1" x14ac:dyDescent="0.3">
      <c r="A54" s="87" t="s">
        <v>148</v>
      </c>
      <c r="B54" s="78" t="s">
        <v>222</v>
      </c>
      <c r="C54" s="92">
        <f>D54+E54</f>
        <v>6526</v>
      </c>
      <c r="D54" s="92">
        <v>6526</v>
      </c>
      <c r="E54" s="92"/>
      <c r="F54" s="92">
        <f>G54+H54</f>
        <v>6526</v>
      </c>
      <c r="G54" s="92">
        <v>6526</v>
      </c>
      <c r="H54" s="92"/>
      <c r="I54" s="90">
        <f t="shared" si="5"/>
        <v>100</v>
      </c>
      <c r="J54" s="90">
        <f t="shared" si="5"/>
        <v>100</v>
      </c>
      <c r="K54" s="90">
        <f t="shared" si="5"/>
        <v>0</v>
      </c>
    </row>
    <row r="55" spans="1:11" ht="27.6" hidden="1" outlineLevel="1" x14ac:dyDescent="0.3">
      <c r="A55" s="87" t="s">
        <v>148</v>
      </c>
      <c r="B55" s="78" t="s">
        <v>223</v>
      </c>
      <c r="C55" s="92">
        <f>D55+E55</f>
        <v>1515</v>
      </c>
      <c r="D55" s="92"/>
      <c r="E55" s="92">
        <v>1515</v>
      </c>
      <c r="F55" s="92">
        <f>G55+H55</f>
        <v>1515</v>
      </c>
      <c r="G55" s="92"/>
      <c r="H55" s="92">
        <v>1515</v>
      </c>
      <c r="I55" s="90">
        <f t="shared" si="5"/>
        <v>100</v>
      </c>
      <c r="J55" s="90">
        <f t="shared" si="5"/>
        <v>0</v>
      </c>
      <c r="K55" s="90">
        <f t="shared" si="5"/>
        <v>100</v>
      </c>
    </row>
    <row r="56" spans="1:11" ht="27.6" hidden="1" outlineLevel="1" x14ac:dyDescent="0.3">
      <c r="A56" s="87" t="s">
        <v>148</v>
      </c>
      <c r="B56" s="78" t="s">
        <v>224</v>
      </c>
      <c r="C56" s="92">
        <f>D56+E56</f>
        <v>7555</v>
      </c>
      <c r="D56" s="92">
        <v>7555</v>
      </c>
      <c r="E56" s="92"/>
      <c r="F56" s="92">
        <f>G56+H56</f>
        <v>2298.6779999999999</v>
      </c>
      <c r="G56" s="92">
        <v>2298.6779999999999</v>
      </c>
      <c r="H56" s="92"/>
      <c r="I56" s="90">
        <f t="shared" si="5"/>
        <v>30.425916611515554</v>
      </c>
      <c r="J56" s="90">
        <f t="shared" si="5"/>
        <v>30.425916611515554</v>
      </c>
      <c r="K56" s="90">
        <f t="shared" si="5"/>
        <v>0</v>
      </c>
    </row>
    <row r="57" spans="1:11" ht="55.2" collapsed="1" x14ac:dyDescent="0.3">
      <c r="A57" s="87" t="s">
        <v>12</v>
      </c>
      <c r="B57" s="78" t="s">
        <v>287</v>
      </c>
      <c r="C57" s="92">
        <v>3408</v>
      </c>
      <c r="D57" s="92">
        <v>3408</v>
      </c>
      <c r="E57" s="92">
        <f t="shared" ref="E57:E62" si="13">C57-D57</f>
        <v>0</v>
      </c>
      <c r="F57" s="92">
        <f>F58+F59+F60</f>
        <v>4842.0769999999993</v>
      </c>
      <c r="G57" s="92">
        <f>G58+G59+G60</f>
        <v>1764.537</v>
      </c>
      <c r="H57" s="92">
        <f>H58+H59+H60</f>
        <v>3077.5399999999995</v>
      </c>
      <c r="I57" s="90">
        <f t="shared" si="5"/>
        <v>142.07972417840372</v>
      </c>
      <c r="J57" s="90">
        <f t="shared" si="5"/>
        <v>51.776320422535214</v>
      </c>
      <c r="K57" s="90">
        <f t="shared" si="5"/>
        <v>0</v>
      </c>
    </row>
    <row r="58" spans="1:11" ht="27.6" hidden="1" outlineLevel="1" x14ac:dyDescent="0.3">
      <c r="A58" s="87" t="s">
        <v>148</v>
      </c>
      <c r="B58" s="78" t="s">
        <v>225</v>
      </c>
      <c r="C58" s="92">
        <v>1840</v>
      </c>
      <c r="D58" s="92">
        <v>1840</v>
      </c>
      <c r="E58" s="92">
        <f t="shared" si="13"/>
        <v>0</v>
      </c>
      <c r="F58" s="92">
        <f>G58+H58</f>
        <v>759.649</v>
      </c>
      <c r="G58" s="92">
        <v>759.649</v>
      </c>
      <c r="H58" s="92"/>
      <c r="I58" s="90">
        <f t="shared" si="5"/>
        <v>41.285271739130437</v>
      </c>
      <c r="J58" s="90">
        <f t="shared" si="5"/>
        <v>41.285271739130437</v>
      </c>
      <c r="K58" s="90">
        <f t="shared" si="5"/>
        <v>0</v>
      </c>
    </row>
    <row r="59" spans="1:11" ht="27.6" hidden="1" outlineLevel="1" x14ac:dyDescent="0.3">
      <c r="A59" s="87" t="s">
        <v>148</v>
      </c>
      <c r="B59" s="78" t="s">
        <v>226</v>
      </c>
      <c r="C59" s="92">
        <v>1288</v>
      </c>
      <c r="D59" s="92">
        <v>1288</v>
      </c>
      <c r="E59" s="92">
        <f t="shared" si="13"/>
        <v>0</v>
      </c>
      <c r="F59" s="92">
        <f>G59+H59</f>
        <v>3802.4279999999994</v>
      </c>
      <c r="G59" s="92">
        <v>724.88800000000003</v>
      </c>
      <c r="H59" s="92">
        <v>3077.5399999999995</v>
      </c>
      <c r="I59" s="90">
        <f t="shared" si="5"/>
        <v>295.21956521739128</v>
      </c>
      <c r="J59" s="90">
        <f t="shared" si="5"/>
        <v>56.280124223602492</v>
      </c>
      <c r="K59" s="90">
        <f t="shared" si="5"/>
        <v>0</v>
      </c>
    </row>
    <row r="60" spans="1:11" ht="27.6" hidden="1" outlineLevel="1" x14ac:dyDescent="0.3">
      <c r="A60" s="87" t="s">
        <v>148</v>
      </c>
      <c r="B60" s="78" t="s">
        <v>227</v>
      </c>
      <c r="C60" s="92">
        <v>280</v>
      </c>
      <c r="D60" s="92">
        <v>280</v>
      </c>
      <c r="E60" s="92">
        <f t="shared" si="13"/>
        <v>0</v>
      </c>
      <c r="F60" s="92">
        <f>G60+H60</f>
        <v>280</v>
      </c>
      <c r="G60" s="92">
        <v>280</v>
      </c>
      <c r="H60" s="92"/>
      <c r="I60" s="90">
        <f t="shared" si="5"/>
        <v>100</v>
      </c>
      <c r="J60" s="90">
        <f t="shared" si="5"/>
        <v>100</v>
      </c>
      <c r="K60" s="90">
        <f t="shared" si="5"/>
        <v>0</v>
      </c>
    </row>
    <row r="61" spans="1:11" ht="55.2" collapsed="1" x14ac:dyDescent="0.3">
      <c r="A61" s="87" t="s">
        <v>12</v>
      </c>
      <c r="B61" s="78" t="s">
        <v>228</v>
      </c>
      <c r="C61" s="92">
        <v>83651</v>
      </c>
      <c r="D61" s="92">
        <v>83651</v>
      </c>
      <c r="E61" s="92">
        <f t="shared" si="13"/>
        <v>0</v>
      </c>
      <c r="F61" s="92">
        <f>G61+H61</f>
        <v>83651</v>
      </c>
      <c r="G61" s="92">
        <v>83651</v>
      </c>
      <c r="H61" s="92"/>
      <c r="I61" s="90">
        <f t="shared" si="5"/>
        <v>100</v>
      </c>
      <c r="J61" s="90">
        <f t="shared" si="5"/>
        <v>100</v>
      </c>
      <c r="K61" s="90">
        <f t="shared" si="5"/>
        <v>0</v>
      </c>
    </row>
    <row r="62" spans="1:11" ht="27.6" x14ac:dyDescent="0.3">
      <c r="A62" s="87" t="s">
        <v>12</v>
      </c>
      <c r="B62" s="78" t="s">
        <v>229</v>
      </c>
      <c r="C62" s="92">
        <v>11957</v>
      </c>
      <c r="D62" s="92">
        <v>11957</v>
      </c>
      <c r="E62" s="92">
        <f t="shared" si="13"/>
        <v>0</v>
      </c>
      <c r="F62" s="92">
        <f>G62+H62</f>
        <v>11957</v>
      </c>
      <c r="G62" s="92">
        <v>11957</v>
      </c>
      <c r="H62" s="92"/>
      <c r="I62" s="90">
        <f t="shared" si="5"/>
        <v>100</v>
      </c>
      <c r="J62" s="90">
        <f t="shared" si="5"/>
        <v>100</v>
      </c>
      <c r="K62" s="90">
        <f t="shared" si="5"/>
        <v>0</v>
      </c>
    </row>
    <row r="63" spans="1:11" ht="82.8" x14ac:dyDescent="0.3">
      <c r="A63" s="87" t="s">
        <v>12</v>
      </c>
      <c r="B63" s="78" t="s">
        <v>288</v>
      </c>
      <c r="C63" s="92">
        <f t="shared" ref="C63:H63" si="14">C64+C65+C66+C67</f>
        <v>14532</v>
      </c>
      <c r="D63" s="92">
        <f t="shared" si="14"/>
        <v>11506</v>
      </c>
      <c r="E63" s="92">
        <f t="shared" si="14"/>
        <v>3026</v>
      </c>
      <c r="F63" s="92">
        <f t="shared" si="14"/>
        <v>10546.560000000001</v>
      </c>
      <c r="G63" s="92">
        <f t="shared" si="14"/>
        <v>7712</v>
      </c>
      <c r="H63" s="92">
        <f t="shared" si="14"/>
        <v>2834.5600000000004</v>
      </c>
      <c r="I63" s="90">
        <f t="shared" si="5"/>
        <v>72.574731626754769</v>
      </c>
      <c r="J63" s="90">
        <f t="shared" si="5"/>
        <v>67.025899530679638</v>
      </c>
      <c r="K63" s="90">
        <f t="shared" si="5"/>
        <v>93.673496364838087</v>
      </c>
    </row>
    <row r="64" spans="1:11" ht="41.4" hidden="1" outlineLevel="1" x14ac:dyDescent="0.3">
      <c r="A64" s="95" t="s">
        <v>148</v>
      </c>
      <c r="B64" s="78" t="s">
        <v>230</v>
      </c>
      <c r="C64" s="92">
        <v>1765</v>
      </c>
      <c r="D64" s="92"/>
      <c r="E64" s="92">
        <f>C64-D64</f>
        <v>1765</v>
      </c>
      <c r="F64" s="92">
        <f>G64+H64</f>
        <v>1714.3400000000001</v>
      </c>
      <c r="G64" s="92"/>
      <c r="H64" s="92">
        <v>1714.3400000000001</v>
      </c>
      <c r="I64" s="90">
        <f t="shared" si="5"/>
        <v>97.129745042492914</v>
      </c>
      <c r="J64" s="90">
        <f t="shared" si="5"/>
        <v>0</v>
      </c>
      <c r="K64" s="90">
        <f t="shared" si="5"/>
        <v>97.129745042492914</v>
      </c>
    </row>
    <row r="65" spans="1:11" ht="27.6" hidden="1" outlineLevel="1" x14ac:dyDescent="0.3">
      <c r="A65" s="95" t="s">
        <v>148</v>
      </c>
      <c r="B65" s="78" t="s">
        <v>231</v>
      </c>
      <c r="C65" s="92">
        <v>1411</v>
      </c>
      <c r="D65" s="92">
        <v>150</v>
      </c>
      <c r="E65" s="92">
        <f>C65-D65</f>
        <v>1261</v>
      </c>
      <c r="F65" s="92">
        <f>G65+H65</f>
        <v>1245.22</v>
      </c>
      <c r="G65" s="92">
        <v>125</v>
      </c>
      <c r="H65" s="92">
        <v>1120.22</v>
      </c>
      <c r="I65" s="90">
        <f t="shared" si="5"/>
        <v>88.250885896527294</v>
      </c>
      <c r="J65" s="90">
        <f t="shared" si="5"/>
        <v>83.333333333333343</v>
      </c>
      <c r="K65" s="90">
        <f t="shared" si="5"/>
        <v>88.835844567803335</v>
      </c>
    </row>
    <row r="66" spans="1:11" ht="41.4" hidden="1" outlineLevel="1" x14ac:dyDescent="0.3">
      <c r="A66" s="95" t="s">
        <v>148</v>
      </c>
      <c r="B66" s="78" t="s">
        <v>232</v>
      </c>
      <c r="C66" s="92">
        <v>4335</v>
      </c>
      <c r="D66" s="92">
        <v>4335</v>
      </c>
      <c r="E66" s="92">
        <f>C66-D66</f>
        <v>0</v>
      </c>
      <c r="F66" s="92">
        <f>G66+H66</f>
        <v>4335</v>
      </c>
      <c r="G66" s="92">
        <v>4335</v>
      </c>
      <c r="H66" s="92"/>
      <c r="I66" s="90">
        <f t="shared" si="5"/>
        <v>100</v>
      </c>
      <c r="J66" s="90">
        <f t="shared" si="5"/>
        <v>100</v>
      </c>
      <c r="K66" s="90">
        <f t="shared" si="5"/>
        <v>0</v>
      </c>
    </row>
    <row r="67" spans="1:11" ht="55.2" hidden="1" outlineLevel="1" x14ac:dyDescent="0.3">
      <c r="A67" s="95" t="s">
        <v>148</v>
      </c>
      <c r="B67" s="78" t="s">
        <v>289</v>
      </c>
      <c r="C67" s="92">
        <v>7021</v>
      </c>
      <c r="D67" s="92">
        <v>7021</v>
      </c>
      <c r="E67" s="92">
        <f>C67-D67</f>
        <v>0</v>
      </c>
      <c r="F67" s="92">
        <f>G67+H67</f>
        <v>3252</v>
      </c>
      <c r="G67" s="92">
        <v>3252</v>
      </c>
      <c r="H67" s="92"/>
      <c r="I67" s="90">
        <f t="shared" si="5"/>
        <v>46.318188292266058</v>
      </c>
      <c r="J67" s="90">
        <f t="shared" si="5"/>
        <v>46.318188292266058</v>
      </c>
      <c r="K67" s="90">
        <f t="shared" si="5"/>
        <v>0</v>
      </c>
    </row>
    <row r="68" spans="1:11" ht="110.4" collapsed="1" x14ac:dyDescent="0.3">
      <c r="A68" s="95" t="s">
        <v>12</v>
      </c>
      <c r="B68" s="96" t="s">
        <v>290</v>
      </c>
      <c r="C68" s="92">
        <f t="shared" ref="C68:H68" si="15">C69+C70+C71+C72</f>
        <v>46969</v>
      </c>
      <c r="D68" s="92">
        <f t="shared" si="15"/>
        <v>20229</v>
      </c>
      <c r="E68" s="92">
        <f t="shared" si="15"/>
        <v>26740</v>
      </c>
      <c r="F68" s="92">
        <f t="shared" si="15"/>
        <v>41447.550999999999</v>
      </c>
      <c r="G68" s="92">
        <f t="shared" si="15"/>
        <v>17117.899999999998</v>
      </c>
      <c r="H68" s="92">
        <f t="shared" si="15"/>
        <v>24329.651000000002</v>
      </c>
      <c r="I68" s="90">
        <f t="shared" si="5"/>
        <v>88.24448253103111</v>
      </c>
      <c r="J68" s="90">
        <f t="shared" si="5"/>
        <v>84.620594196450625</v>
      </c>
      <c r="K68" s="90">
        <f t="shared" si="5"/>
        <v>90.985979805534782</v>
      </c>
    </row>
    <row r="69" spans="1:11" ht="27.6" hidden="1" outlineLevel="1" x14ac:dyDescent="0.3">
      <c r="A69" s="87" t="s">
        <v>148</v>
      </c>
      <c r="B69" s="78" t="s">
        <v>233</v>
      </c>
      <c r="C69" s="92">
        <v>12694</v>
      </c>
      <c r="D69" s="92">
        <v>940</v>
      </c>
      <c r="E69" s="92">
        <f t="shared" ref="E69:E88" si="16">C69-D69</f>
        <v>11754</v>
      </c>
      <c r="F69" s="92">
        <f t="shared" ref="F69:F77" si="17">G69+H69</f>
        <v>12573.79</v>
      </c>
      <c r="G69" s="92">
        <v>835</v>
      </c>
      <c r="H69" s="92">
        <v>11738.79</v>
      </c>
      <c r="I69" s="90">
        <f t="shared" si="5"/>
        <v>99.053017173467779</v>
      </c>
      <c r="J69" s="90">
        <f t="shared" si="5"/>
        <v>88.829787234042556</v>
      </c>
      <c r="K69" s="90">
        <f t="shared" si="5"/>
        <v>99.870597243491588</v>
      </c>
    </row>
    <row r="70" spans="1:11" ht="27.6" hidden="1" outlineLevel="1" x14ac:dyDescent="0.3">
      <c r="A70" s="87" t="s">
        <v>148</v>
      </c>
      <c r="B70" s="78" t="s">
        <v>234</v>
      </c>
      <c r="C70" s="92">
        <v>14041</v>
      </c>
      <c r="D70" s="92">
        <v>0</v>
      </c>
      <c r="E70" s="92">
        <f t="shared" si="16"/>
        <v>14041</v>
      </c>
      <c r="F70" s="92">
        <f t="shared" si="17"/>
        <v>11615.861000000001</v>
      </c>
      <c r="G70" s="92"/>
      <c r="H70" s="92">
        <v>11615.861000000001</v>
      </c>
      <c r="I70" s="90">
        <f t="shared" si="5"/>
        <v>82.728160387436802</v>
      </c>
      <c r="J70" s="90">
        <f t="shared" si="5"/>
        <v>0</v>
      </c>
      <c r="K70" s="90">
        <f t="shared" si="5"/>
        <v>82.728160387436802</v>
      </c>
    </row>
    <row r="71" spans="1:11" ht="27.6" hidden="1" outlineLevel="1" x14ac:dyDescent="0.3">
      <c r="A71" s="87" t="s">
        <v>148</v>
      </c>
      <c r="B71" s="78" t="s">
        <v>235</v>
      </c>
      <c r="C71" s="92">
        <v>1487</v>
      </c>
      <c r="D71" s="92">
        <v>542</v>
      </c>
      <c r="E71" s="92">
        <f t="shared" si="16"/>
        <v>945</v>
      </c>
      <c r="F71" s="92">
        <f t="shared" si="17"/>
        <v>2005</v>
      </c>
      <c r="G71" s="92">
        <v>1030</v>
      </c>
      <c r="H71" s="92">
        <v>975</v>
      </c>
      <c r="I71" s="90">
        <f t="shared" si="5"/>
        <v>134.83523873570948</v>
      </c>
      <c r="J71" s="90">
        <f t="shared" si="5"/>
        <v>190.03690036900369</v>
      </c>
      <c r="K71" s="90">
        <f t="shared" si="5"/>
        <v>103.17460317460319</v>
      </c>
    </row>
    <row r="72" spans="1:11" ht="27.6" hidden="1" outlineLevel="1" x14ac:dyDescent="0.3">
      <c r="A72" s="87" t="s">
        <v>148</v>
      </c>
      <c r="B72" s="78" t="s">
        <v>236</v>
      </c>
      <c r="C72" s="92">
        <v>18747</v>
      </c>
      <c r="D72" s="92">
        <v>18747</v>
      </c>
      <c r="E72" s="92">
        <f t="shared" si="16"/>
        <v>0</v>
      </c>
      <c r="F72" s="92">
        <f t="shared" si="17"/>
        <v>15252.899999999998</v>
      </c>
      <c r="G72" s="92">
        <v>15252.899999999998</v>
      </c>
      <c r="H72" s="92"/>
      <c r="I72" s="90">
        <f t="shared" si="5"/>
        <v>81.361817890862525</v>
      </c>
      <c r="J72" s="90">
        <f t="shared" si="5"/>
        <v>81.361817890862525</v>
      </c>
      <c r="K72" s="90">
        <f t="shared" si="5"/>
        <v>0</v>
      </c>
    </row>
    <row r="73" spans="1:11" ht="41.4" collapsed="1" x14ac:dyDescent="0.3">
      <c r="A73" s="95" t="s">
        <v>12</v>
      </c>
      <c r="B73" s="78" t="s">
        <v>291</v>
      </c>
      <c r="C73" s="92">
        <v>10215</v>
      </c>
      <c r="D73" s="92">
        <v>10215</v>
      </c>
      <c r="E73" s="92">
        <f t="shared" si="16"/>
        <v>0</v>
      </c>
      <c r="F73" s="92">
        <f t="shared" si="17"/>
        <v>7752.9</v>
      </c>
      <c r="G73" s="92">
        <v>7752.9</v>
      </c>
      <c r="H73" s="92"/>
      <c r="I73" s="90">
        <f t="shared" si="5"/>
        <v>75.897209985315712</v>
      </c>
      <c r="J73" s="90">
        <f t="shared" si="5"/>
        <v>75.897209985315712</v>
      </c>
      <c r="K73" s="90">
        <f t="shared" si="5"/>
        <v>0</v>
      </c>
    </row>
    <row r="74" spans="1:11" x14ac:dyDescent="0.3">
      <c r="A74" s="95" t="s">
        <v>12</v>
      </c>
      <c r="B74" s="78" t="s">
        <v>237</v>
      </c>
      <c r="C74" s="92">
        <v>4796</v>
      </c>
      <c r="D74" s="92">
        <v>2145</v>
      </c>
      <c r="E74" s="92">
        <f t="shared" si="16"/>
        <v>2651</v>
      </c>
      <c r="F74" s="92">
        <f t="shared" si="17"/>
        <v>4124.8029999999999</v>
      </c>
      <c r="G74" s="92">
        <v>2145</v>
      </c>
      <c r="H74" s="92">
        <v>1979.8030000000001</v>
      </c>
      <c r="I74" s="90">
        <f t="shared" si="5"/>
        <v>86.005066722268552</v>
      </c>
      <c r="J74" s="90">
        <f t="shared" si="5"/>
        <v>100</v>
      </c>
      <c r="K74" s="90">
        <f t="shared" si="5"/>
        <v>74.681365522444366</v>
      </c>
    </row>
    <row r="75" spans="1:11" ht="27.6" x14ac:dyDescent="0.3">
      <c r="A75" s="95" t="s">
        <v>12</v>
      </c>
      <c r="B75" s="78" t="s">
        <v>292</v>
      </c>
      <c r="C75" s="92">
        <v>1800</v>
      </c>
      <c r="D75" s="92">
        <v>1800</v>
      </c>
      <c r="E75" s="92">
        <f t="shared" si="16"/>
        <v>0</v>
      </c>
      <c r="F75" s="92">
        <f t="shared" si="17"/>
        <v>1800</v>
      </c>
      <c r="G75" s="92">
        <v>1800</v>
      </c>
      <c r="H75" s="92"/>
      <c r="I75" s="90">
        <f t="shared" si="5"/>
        <v>100</v>
      </c>
      <c r="J75" s="90">
        <f t="shared" si="5"/>
        <v>100</v>
      </c>
      <c r="K75" s="90">
        <f t="shared" si="5"/>
        <v>0</v>
      </c>
    </row>
    <row r="76" spans="1:11" ht="27.6" x14ac:dyDescent="0.3">
      <c r="A76" s="95" t="s">
        <v>12</v>
      </c>
      <c r="B76" s="78" t="s">
        <v>238</v>
      </c>
      <c r="C76" s="92">
        <v>9555</v>
      </c>
      <c r="D76" s="92">
        <v>8600</v>
      </c>
      <c r="E76" s="92">
        <f t="shared" si="16"/>
        <v>955</v>
      </c>
      <c r="F76" s="92">
        <f t="shared" si="17"/>
        <v>9171.42</v>
      </c>
      <c r="G76" s="92">
        <v>8231</v>
      </c>
      <c r="H76" s="92">
        <v>940.42</v>
      </c>
      <c r="I76" s="90">
        <f t="shared" si="5"/>
        <v>95.985557299843009</v>
      </c>
      <c r="J76" s="90">
        <f t="shared" si="5"/>
        <v>95.70930232558139</v>
      </c>
      <c r="K76" s="90">
        <f t="shared" si="5"/>
        <v>98.473298429319371</v>
      </c>
    </row>
    <row r="77" spans="1:11" x14ac:dyDescent="0.3">
      <c r="A77" s="95" t="s">
        <v>12</v>
      </c>
      <c r="B77" s="78" t="s">
        <v>293</v>
      </c>
      <c r="C77" s="92">
        <v>44194</v>
      </c>
      <c r="D77" s="92">
        <v>44194</v>
      </c>
      <c r="E77" s="92">
        <f t="shared" si="16"/>
        <v>0</v>
      </c>
      <c r="F77" s="92">
        <f t="shared" si="17"/>
        <v>43643</v>
      </c>
      <c r="G77" s="92">
        <v>43643</v>
      </c>
      <c r="H77" s="92"/>
      <c r="I77" s="90">
        <f t="shared" si="5"/>
        <v>98.753224419604464</v>
      </c>
      <c r="J77" s="90">
        <f t="shared" si="5"/>
        <v>98.753224419604464</v>
      </c>
      <c r="K77" s="90">
        <f t="shared" si="5"/>
        <v>0</v>
      </c>
    </row>
    <row r="78" spans="1:11" ht="41.4" x14ac:dyDescent="0.3">
      <c r="A78" s="95" t="s">
        <v>12</v>
      </c>
      <c r="B78" s="78" t="s">
        <v>294</v>
      </c>
      <c r="C78" s="92">
        <f t="shared" ref="C78:H78" si="18">C79+C80</f>
        <v>5430</v>
      </c>
      <c r="D78" s="92">
        <f t="shared" si="18"/>
        <v>1612</v>
      </c>
      <c r="E78" s="92">
        <f t="shared" si="18"/>
        <v>3818</v>
      </c>
      <c r="F78" s="92">
        <f t="shared" si="18"/>
        <v>5397.9989999999998</v>
      </c>
      <c r="G78" s="92">
        <f t="shared" si="18"/>
        <v>1612</v>
      </c>
      <c r="H78" s="92">
        <f t="shared" si="18"/>
        <v>3785.9989999999998</v>
      </c>
      <c r="I78" s="90">
        <f t="shared" si="5"/>
        <v>99.410662983425411</v>
      </c>
      <c r="J78" s="90">
        <f t="shared" si="5"/>
        <v>100</v>
      </c>
      <c r="K78" s="90">
        <f t="shared" si="5"/>
        <v>99.161838658983754</v>
      </c>
    </row>
    <row r="79" spans="1:11" ht="41.4" hidden="1" outlineLevel="1" x14ac:dyDescent="0.3">
      <c r="A79" s="87" t="s">
        <v>148</v>
      </c>
      <c r="B79" s="78" t="s">
        <v>239</v>
      </c>
      <c r="C79" s="92">
        <v>3818</v>
      </c>
      <c r="D79" s="92">
        <v>0</v>
      </c>
      <c r="E79" s="92">
        <f t="shared" si="16"/>
        <v>3818</v>
      </c>
      <c r="F79" s="92">
        <f>G79+H79</f>
        <v>3785.9989999999998</v>
      </c>
      <c r="G79" s="92"/>
      <c r="H79" s="92">
        <v>3785.9989999999998</v>
      </c>
      <c r="I79" s="90">
        <f t="shared" si="5"/>
        <v>99.161838658983754</v>
      </c>
      <c r="J79" s="90">
        <f t="shared" si="5"/>
        <v>0</v>
      </c>
      <c r="K79" s="90">
        <f t="shared" si="5"/>
        <v>99.161838658983754</v>
      </c>
    </row>
    <row r="80" spans="1:11" ht="41.4" hidden="1" outlineLevel="1" x14ac:dyDescent="0.3">
      <c r="A80" s="87" t="s">
        <v>148</v>
      </c>
      <c r="B80" s="78" t="s">
        <v>240</v>
      </c>
      <c r="C80" s="92">
        <v>1612</v>
      </c>
      <c r="D80" s="92">
        <v>1612</v>
      </c>
      <c r="E80" s="92">
        <f t="shared" si="16"/>
        <v>0</v>
      </c>
      <c r="F80" s="92">
        <f>G80+H80</f>
        <v>1612</v>
      </c>
      <c r="G80" s="92">
        <v>1612</v>
      </c>
      <c r="H80" s="92"/>
      <c r="I80" s="90">
        <f t="shared" si="5"/>
        <v>100</v>
      </c>
      <c r="J80" s="90">
        <f t="shared" si="5"/>
        <v>100</v>
      </c>
      <c r="K80" s="90">
        <f t="shared" si="5"/>
        <v>0</v>
      </c>
    </row>
    <row r="81" spans="1:11" ht="27.6" collapsed="1" x14ac:dyDescent="0.3">
      <c r="A81" s="95" t="s">
        <v>12</v>
      </c>
      <c r="B81" s="78" t="s">
        <v>241</v>
      </c>
      <c r="C81" s="92">
        <f t="shared" ref="C81:H81" si="19">C82+C83+C84+C85+C86+C87+C88+C89+C90</f>
        <v>86040</v>
      </c>
      <c r="D81" s="92">
        <f t="shared" si="19"/>
        <v>81829</v>
      </c>
      <c r="E81" s="92">
        <f t="shared" si="19"/>
        <v>4211</v>
      </c>
      <c r="F81" s="92">
        <f t="shared" si="19"/>
        <v>77144.902025999996</v>
      </c>
      <c r="G81" s="92">
        <f t="shared" si="19"/>
        <v>72291.324026000002</v>
      </c>
      <c r="H81" s="92">
        <f t="shared" si="19"/>
        <v>4853.5779999999995</v>
      </c>
      <c r="I81" s="90">
        <f t="shared" si="5"/>
        <v>89.661671345885622</v>
      </c>
      <c r="J81" s="90">
        <f t="shared" si="5"/>
        <v>88.344381607987387</v>
      </c>
      <c r="K81" s="90">
        <f t="shared" si="5"/>
        <v>115.25951080503442</v>
      </c>
    </row>
    <row r="82" spans="1:11" ht="27.6" hidden="1" outlineLevel="1" x14ac:dyDescent="0.3">
      <c r="A82" s="87" t="s">
        <v>148</v>
      </c>
      <c r="B82" s="78" t="s">
        <v>242</v>
      </c>
      <c r="C82" s="92">
        <v>8155</v>
      </c>
      <c r="D82" s="92">
        <v>7680</v>
      </c>
      <c r="E82" s="92">
        <v>475</v>
      </c>
      <c r="F82" s="92">
        <f>G82+H82</f>
        <v>7559.991</v>
      </c>
      <c r="G82" s="92">
        <v>7165</v>
      </c>
      <c r="H82" s="92">
        <v>394.99099999999999</v>
      </c>
      <c r="I82" s="90">
        <f t="shared" si="5"/>
        <v>92.703752299202947</v>
      </c>
      <c r="J82" s="90">
        <f t="shared" si="5"/>
        <v>93.294270833333343</v>
      </c>
      <c r="K82" s="90">
        <f t="shared" si="5"/>
        <v>83.155999999999992</v>
      </c>
    </row>
    <row r="83" spans="1:11" hidden="1" outlineLevel="1" x14ac:dyDescent="0.3">
      <c r="A83" s="87" t="s">
        <v>148</v>
      </c>
      <c r="B83" s="78" t="s">
        <v>243</v>
      </c>
      <c r="C83" s="92">
        <f>D83+E83</f>
        <v>3284</v>
      </c>
      <c r="D83" s="92">
        <v>2046</v>
      </c>
      <c r="E83" s="92">
        <v>1238</v>
      </c>
      <c r="F83" s="92">
        <f>G83+H83</f>
        <v>2759.212</v>
      </c>
      <c r="G83" s="92">
        <v>1626</v>
      </c>
      <c r="H83" s="92">
        <v>1133.212</v>
      </c>
      <c r="I83" s="90">
        <f t="shared" si="5"/>
        <v>84.019853836784407</v>
      </c>
      <c r="J83" s="90">
        <f t="shared" si="5"/>
        <v>79.47214076246334</v>
      </c>
      <c r="K83" s="90">
        <f t="shared" si="5"/>
        <v>91.535702746365104</v>
      </c>
    </row>
    <row r="84" spans="1:11" hidden="1" outlineLevel="1" x14ac:dyDescent="0.3">
      <c r="A84" s="87" t="s">
        <v>148</v>
      </c>
      <c r="B84" s="78" t="s">
        <v>295</v>
      </c>
      <c r="C84" s="92">
        <f>D84+E84</f>
        <v>5670</v>
      </c>
      <c r="D84" s="92">
        <v>5670</v>
      </c>
      <c r="E84" s="92"/>
      <c r="F84" s="92">
        <f>G84+H84</f>
        <v>3966.1619929999997</v>
      </c>
      <c r="G84" s="92">
        <v>3966.1619929999997</v>
      </c>
      <c r="H84" s="92"/>
      <c r="I84" s="90">
        <f t="shared" si="5"/>
        <v>69.949946966490302</v>
      </c>
      <c r="J84" s="90">
        <f t="shared" si="5"/>
        <v>69.949946966490302</v>
      </c>
      <c r="K84" s="90">
        <f t="shared" si="5"/>
        <v>0</v>
      </c>
    </row>
    <row r="85" spans="1:11" hidden="1" outlineLevel="1" x14ac:dyDescent="0.3">
      <c r="A85" s="87" t="s">
        <v>148</v>
      </c>
      <c r="B85" s="78" t="s">
        <v>296</v>
      </c>
      <c r="C85" s="92">
        <v>1451</v>
      </c>
      <c r="D85" s="92">
        <v>1451</v>
      </c>
      <c r="E85" s="92">
        <f t="shared" si="16"/>
        <v>0</v>
      </c>
      <c r="F85" s="92">
        <f t="shared" ref="F85:F93" si="20">G85+H85</f>
        <v>1442.8140000000001</v>
      </c>
      <c r="G85" s="92">
        <v>1442.8140000000001</v>
      </c>
      <c r="H85" s="92"/>
      <c r="I85" s="90">
        <f t="shared" si="5"/>
        <v>99.435837353549289</v>
      </c>
      <c r="J85" s="90">
        <f t="shared" si="5"/>
        <v>99.435837353549289</v>
      </c>
      <c r="K85" s="90">
        <f t="shared" si="5"/>
        <v>0</v>
      </c>
    </row>
    <row r="86" spans="1:11" ht="27.6" hidden="1" outlineLevel="1" x14ac:dyDescent="0.3">
      <c r="A86" s="87" t="s">
        <v>148</v>
      </c>
      <c r="B86" s="78" t="s">
        <v>244</v>
      </c>
      <c r="C86" s="92">
        <v>1880</v>
      </c>
      <c r="D86" s="92">
        <v>1880</v>
      </c>
      <c r="E86" s="92">
        <f t="shared" si="16"/>
        <v>0</v>
      </c>
      <c r="F86" s="92">
        <f t="shared" si="20"/>
        <v>1880</v>
      </c>
      <c r="G86" s="92">
        <v>1880</v>
      </c>
      <c r="H86" s="92"/>
      <c r="I86" s="90">
        <f t="shared" si="5"/>
        <v>100</v>
      </c>
      <c r="J86" s="90">
        <f t="shared" si="5"/>
        <v>100</v>
      </c>
      <c r="K86" s="90">
        <f t="shared" si="5"/>
        <v>0</v>
      </c>
    </row>
    <row r="87" spans="1:11" ht="27.6" hidden="1" outlineLevel="1" x14ac:dyDescent="0.3">
      <c r="A87" s="87" t="s">
        <v>148</v>
      </c>
      <c r="B87" s="78" t="s">
        <v>245</v>
      </c>
      <c r="C87" s="92">
        <v>33800</v>
      </c>
      <c r="D87" s="92">
        <v>31302</v>
      </c>
      <c r="E87" s="92">
        <f t="shared" si="16"/>
        <v>2498</v>
      </c>
      <c r="F87" s="92">
        <f t="shared" si="20"/>
        <v>28268.723032999998</v>
      </c>
      <c r="G87" s="92">
        <v>26163.348032999998</v>
      </c>
      <c r="H87" s="92">
        <v>2105.375</v>
      </c>
      <c r="I87" s="90">
        <f t="shared" si="5"/>
        <v>83.635275245562127</v>
      </c>
      <c r="J87" s="90">
        <f t="shared" si="5"/>
        <v>83.583630544374159</v>
      </c>
      <c r="K87" s="90">
        <f t="shared" si="5"/>
        <v>84.282425940752603</v>
      </c>
    </row>
    <row r="88" spans="1:11" ht="55.2" hidden="1" outlineLevel="1" x14ac:dyDescent="0.3">
      <c r="A88" s="87" t="s">
        <v>148</v>
      </c>
      <c r="B88" s="78" t="s">
        <v>297</v>
      </c>
      <c r="C88" s="92">
        <v>30000</v>
      </c>
      <c r="D88" s="92">
        <v>30000</v>
      </c>
      <c r="E88" s="92">
        <f t="shared" si="16"/>
        <v>0</v>
      </c>
      <c r="F88" s="92">
        <f t="shared" si="20"/>
        <v>29748</v>
      </c>
      <c r="G88" s="92">
        <v>29748</v>
      </c>
      <c r="H88" s="92"/>
      <c r="I88" s="90">
        <f t="shared" si="5"/>
        <v>99.16</v>
      </c>
      <c r="J88" s="90">
        <f t="shared" si="5"/>
        <v>99.16</v>
      </c>
      <c r="K88" s="90">
        <f t="shared" si="5"/>
        <v>0</v>
      </c>
    </row>
    <row r="89" spans="1:11" ht="27.6" hidden="1" outlineLevel="1" x14ac:dyDescent="0.3">
      <c r="A89" s="87" t="s">
        <v>148</v>
      </c>
      <c r="B89" s="78" t="s">
        <v>246</v>
      </c>
      <c r="C89" s="92">
        <v>300</v>
      </c>
      <c r="D89" s="92">
        <v>300</v>
      </c>
      <c r="E89" s="92">
        <f>C89-D89</f>
        <v>0</v>
      </c>
      <c r="F89" s="92">
        <f t="shared" si="20"/>
        <v>300</v>
      </c>
      <c r="G89" s="92">
        <v>300</v>
      </c>
      <c r="H89" s="92"/>
      <c r="I89" s="90">
        <f t="shared" ref="I89:K94" si="21">IF(C89=0,0,F89/C89*100)</f>
        <v>100</v>
      </c>
      <c r="J89" s="90">
        <f t="shared" si="21"/>
        <v>100</v>
      </c>
      <c r="K89" s="90">
        <f t="shared" si="21"/>
        <v>0</v>
      </c>
    </row>
    <row r="90" spans="1:11" ht="41.4" hidden="1" outlineLevel="1" x14ac:dyDescent="0.3">
      <c r="A90" s="87" t="s">
        <v>148</v>
      </c>
      <c r="B90" s="78" t="s">
        <v>298</v>
      </c>
      <c r="C90" s="92">
        <v>1500</v>
      </c>
      <c r="D90" s="92">
        <v>1500</v>
      </c>
      <c r="E90" s="92">
        <f>C90-D90</f>
        <v>0</v>
      </c>
      <c r="F90" s="92">
        <f t="shared" si="20"/>
        <v>1220</v>
      </c>
      <c r="G90" s="92"/>
      <c r="H90" s="92">
        <v>1220</v>
      </c>
      <c r="I90" s="90">
        <f t="shared" si="21"/>
        <v>81.333333333333329</v>
      </c>
      <c r="J90" s="90">
        <f t="shared" si="21"/>
        <v>0</v>
      </c>
      <c r="K90" s="90">
        <f t="shared" si="21"/>
        <v>0</v>
      </c>
    </row>
    <row r="91" spans="1:11" collapsed="1" x14ac:dyDescent="0.3">
      <c r="A91" s="87" t="s">
        <v>12</v>
      </c>
      <c r="B91" s="78" t="s">
        <v>299</v>
      </c>
      <c r="C91" s="92">
        <v>248</v>
      </c>
      <c r="D91" s="92">
        <v>248</v>
      </c>
      <c r="E91" s="92">
        <f>C91-D91</f>
        <v>0</v>
      </c>
      <c r="F91" s="92">
        <f t="shared" si="20"/>
        <v>248</v>
      </c>
      <c r="G91" s="92">
        <v>248</v>
      </c>
      <c r="H91" s="92"/>
      <c r="I91" s="90">
        <f t="shared" si="21"/>
        <v>100</v>
      </c>
      <c r="J91" s="90">
        <f t="shared" si="21"/>
        <v>100</v>
      </c>
      <c r="K91" s="90">
        <f t="shared" si="21"/>
        <v>0</v>
      </c>
    </row>
    <row r="92" spans="1:11" x14ac:dyDescent="0.3">
      <c r="A92" s="87" t="s">
        <v>12</v>
      </c>
      <c r="B92" s="78" t="s">
        <v>300</v>
      </c>
      <c r="C92" s="92">
        <v>150</v>
      </c>
      <c r="D92" s="92">
        <v>150</v>
      </c>
      <c r="E92" s="92">
        <f>C92-D92</f>
        <v>0</v>
      </c>
      <c r="F92" s="92">
        <f t="shared" si="20"/>
        <v>150</v>
      </c>
      <c r="G92" s="92">
        <v>150</v>
      </c>
      <c r="H92" s="92"/>
      <c r="I92" s="90">
        <f t="shared" si="21"/>
        <v>100</v>
      </c>
      <c r="J92" s="90">
        <f t="shared" si="21"/>
        <v>100</v>
      </c>
      <c r="K92" s="90">
        <f t="shared" si="21"/>
        <v>0</v>
      </c>
    </row>
    <row r="93" spans="1:11" x14ac:dyDescent="0.3">
      <c r="A93" s="87" t="s">
        <v>12</v>
      </c>
      <c r="B93" s="78" t="s">
        <v>301</v>
      </c>
      <c r="C93" s="92">
        <v>5000</v>
      </c>
      <c r="D93" s="92">
        <v>5000</v>
      </c>
      <c r="E93" s="92">
        <f>C93-D93</f>
        <v>0</v>
      </c>
      <c r="F93" s="92">
        <f t="shared" si="20"/>
        <v>5000</v>
      </c>
      <c r="G93" s="92">
        <v>5000</v>
      </c>
      <c r="H93" s="92"/>
      <c r="I93" s="90">
        <f t="shared" si="21"/>
        <v>100</v>
      </c>
      <c r="J93" s="90">
        <f t="shared" si="21"/>
        <v>100</v>
      </c>
      <c r="K93" s="90">
        <f t="shared" si="21"/>
        <v>0</v>
      </c>
    </row>
    <row r="94" spans="1:11" ht="27.6" x14ac:dyDescent="0.3">
      <c r="A94" s="82" t="s">
        <v>33</v>
      </c>
      <c r="B94" s="83" t="s">
        <v>78</v>
      </c>
      <c r="C94" s="85"/>
      <c r="D94" s="85"/>
      <c r="E94" s="85"/>
      <c r="F94" s="85">
        <f>G94+H94</f>
        <v>2591890.6532200002</v>
      </c>
      <c r="G94" s="85">
        <v>1859411.5550220001</v>
      </c>
      <c r="H94" s="85">
        <v>732479.09819800011</v>
      </c>
      <c r="I94" s="84">
        <f t="shared" si="21"/>
        <v>0</v>
      </c>
      <c r="J94" s="84">
        <f t="shared" si="21"/>
        <v>0</v>
      </c>
      <c r="K94" s="84">
        <f t="shared" si="21"/>
        <v>0</v>
      </c>
    </row>
    <row r="95" spans="1:11" x14ac:dyDescent="0.3">
      <c r="A95" s="97" t="s">
        <v>34</v>
      </c>
      <c r="B95" s="98" t="s">
        <v>302</v>
      </c>
      <c r="C95" s="99"/>
      <c r="D95" s="99"/>
      <c r="E95" s="99"/>
      <c r="F95" s="99">
        <f>G95+H95</f>
        <v>210026.64608899999</v>
      </c>
      <c r="G95" s="99">
        <v>185107.980278</v>
      </c>
      <c r="H95" s="99">
        <v>24918.665810999999</v>
      </c>
      <c r="I95" s="100">
        <f>IF(C95=0,0,F95/C95*100)</f>
        <v>0</v>
      </c>
      <c r="J95" s="100">
        <f>IF(D95=0,0,G95/D95*100)</f>
        <v>0</v>
      </c>
      <c r="K95" s="100">
        <f>IF(E95=0,0,H95/E95*100)</f>
        <v>0</v>
      </c>
    </row>
  </sheetData>
  <mergeCells count="10">
    <mergeCell ref="A2:K2"/>
    <mergeCell ref="A3:K3"/>
    <mergeCell ref="J4:K4"/>
    <mergeCell ref="A5:A6"/>
    <mergeCell ref="D5:E5"/>
    <mergeCell ref="F5:F6"/>
    <mergeCell ref="G5:H5"/>
    <mergeCell ref="I5:K5"/>
    <mergeCell ref="B5:B6"/>
    <mergeCell ref="C5:C6"/>
  </mergeCells>
  <dataValidations count="3">
    <dataValidation allowBlank="1" showInputMessage="1" showErrorMessage="1" prompt="Chưa bao gồm chi chuyển giao ngân sách _x000a_"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34 JC65534 SY65534 ACU65534 AMQ65534 AWM65534 BGI65534 BQE65534 CAA65534 CJW65534 CTS65534 DDO65534 DNK65534 DXG65534 EHC65534 EQY65534 FAU65534 FKQ65534 FUM65534 GEI65534 GOE65534 GYA65534 HHW65534 HRS65534 IBO65534 ILK65534 IVG65534 JFC65534 JOY65534 JYU65534 KIQ65534 KSM65534 LCI65534 LME65534 LWA65534 MFW65534 MPS65534 MZO65534 NJK65534 NTG65534 ODC65534 OMY65534 OWU65534 PGQ65534 PQM65534 QAI65534 QKE65534 QUA65534 RDW65534 RNS65534 RXO65534 SHK65534 SRG65534 TBC65534 TKY65534 TUU65534 UEQ65534 UOM65534 UYI65534 VIE65534 VSA65534 WBW65534 WLS65534 WVO65534 G131070 JC131070 SY131070 ACU131070 AMQ131070 AWM131070 BGI131070 BQE131070 CAA131070 CJW131070 CTS131070 DDO131070 DNK131070 DXG131070 EHC131070 EQY131070 FAU131070 FKQ131070 FUM131070 GEI131070 GOE131070 GYA131070 HHW131070 HRS131070 IBO131070 ILK131070 IVG131070 JFC131070 JOY131070 JYU131070 KIQ131070 KSM131070 LCI131070 LME131070 LWA131070 MFW131070 MPS131070 MZO131070 NJK131070 NTG131070 ODC131070 OMY131070 OWU131070 PGQ131070 PQM131070 QAI131070 QKE131070 QUA131070 RDW131070 RNS131070 RXO131070 SHK131070 SRG131070 TBC131070 TKY131070 TUU131070 UEQ131070 UOM131070 UYI131070 VIE131070 VSA131070 WBW131070 WLS131070 WVO131070 G196606 JC196606 SY196606 ACU196606 AMQ196606 AWM196606 BGI196606 BQE196606 CAA196606 CJW196606 CTS196606 DDO196606 DNK196606 DXG196606 EHC196606 EQY196606 FAU196606 FKQ196606 FUM196606 GEI196606 GOE196606 GYA196606 HHW196606 HRS196606 IBO196606 ILK196606 IVG196606 JFC196606 JOY196606 JYU196606 KIQ196606 KSM196606 LCI196606 LME196606 LWA196606 MFW196606 MPS196606 MZO196606 NJK196606 NTG196606 ODC196606 OMY196606 OWU196606 PGQ196606 PQM196606 QAI196606 QKE196606 QUA196606 RDW196606 RNS196606 RXO196606 SHK196606 SRG196606 TBC196606 TKY196606 TUU196606 UEQ196606 UOM196606 UYI196606 VIE196606 VSA196606 WBW196606 WLS196606 WVO196606 G262142 JC262142 SY262142 ACU262142 AMQ262142 AWM262142 BGI262142 BQE262142 CAA262142 CJW262142 CTS262142 DDO262142 DNK262142 DXG262142 EHC262142 EQY262142 FAU262142 FKQ262142 FUM262142 GEI262142 GOE262142 GYA262142 HHW262142 HRS262142 IBO262142 ILK262142 IVG262142 JFC262142 JOY262142 JYU262142 KIQ262142 KSM262142 LCI262142 LME262142 LWA262142 MFW262142 MPS262142 MZO262142 NJK262142 NTG262142 ODC262142 OMY262142 OWU262142 PGQ262142 PQM262142 QAI262142 QKE262142 QUA262142 RDW262142 RNS262142 RXO262142 SHK262142 SRG262142 TBC262142 TKY262142 TUU262142 UEQ262142 UOM262142 UYI262142 VIE262142 VSA262142 WBW262142 WLS262142 WVO262142 G327678 JC327678 SY327678 ACU327678 AMQ327678 AWM327678 BGI327678 BQE327678 CAA327678 CJW327678 CTS327678 DDO327678 DNK327678 DXG327678 EHC327678 EQY327678 FAU327678 FKQ327678 FUM327678 GEI327678 GOE327678 GYA327678 HHW327678 HRS327678 IBO327678 ILK327678 IVG327678 JFC327678 JOY327678 JYU327678 KIQ327678 KSM327678 LCI327678 LME327678 LWA327678 MFW327678 MPS327678 MZO327678 NJK327678 NTG327678 ODC327678 OMY327678 OWU327678 PGQ327678 PQM327678 QAI327678 QKE327678 QUA327678 RDW327678 RNS327678 RXO327678 SHK327678 SRG327678 TBC327678 TKY327678 TUU327678 UEQ327678 UOM327678 UYI327678 VIE327678 VSA327678 WBW327678 WLS327678 WVO327678 G393214 JC393214 SY393214 ACU393214 AMQ393214 AWM393214 BGI393214 BQE393214 CAA393214 CJW393214 CTS393214 DDO393214 DNK393214 DXG393214 EHC393214 EQY393214 FAU393214 FKQ393214 FUM393214 GEI393214 GOE393214 GYA393214 HHW393214 HRS393214 IBO393214 ILK393214 IVG393214 JFC393214 JOY393214 JYU393214 KIQ393214 KSM393214 LCI393214 LME393214 LWA393214 MFW393214 MPS393214 MZO393214 NJK393214 NTG393214 ODC393214 OMY393214 OWU393214 PGQ393214 PQM393214 QAI393214 QKE393214 QUA393214 RDW393214 RNS393214 RXO393214 SHK393214 SRG393214 TBC393214 TKY393214 TUU393214 UEQ393214 UOM393214 UYI393214 VIE393214 VSA393214 WBW393214 WLS393214 WVO393214 G458750 JC458750 SY458750 ACU458750 AMQ458750 AWM458750 BGI458750 BQE458750 CAA458750 CJW458750 CTS458750 DDO458750 DNK458750 DXG458750 EHC458750 EQY458750 FAU458750 FKQ458750 FUM458750 GEI458750 GOE458750 GYA458750 HHW458750 HRS458750 IBO458750 ILK458750 IVG458750 JFC458750 JOY458750 JYU458750 KIQ458750 KSM458750 LCI458750 LME458750 LWA458750 MFW458750 MPS458750 MZO458750 NJK458750 NTG458750 ODC458750 OMY458750 OWU458750 PGQ458750 PQM458750 QAI458750 QKE458750 QUA458750 RDW458750 RNS458750 RXO458750 SHK458750 SRG458750 TBC458750 TKY458750 TUU458750 UEQ458750 UOM458750 UYI458750 VIE458750 VSA458750 WBW458750 WLS458750 WVO458750 G524286 JC524286 SY524286 ACU524286 AMQ524286 AWM524286 BGI524286 BQE524286 CAA524286 CJW524286 CTS524286 DDO524286 DNK524286 DXG524286 EHC524286 EQY524286 FAU524286 FKQ524286 FUM524286 GEI524286 GOE524286 GYA524286 HHW524286 HRS524286 IBO524286 ILK524286 IVG524286 JFC524286 JOY524286 JYU524286 KIQ524286 KSM524286 LCI524286 LME524286 LWA524286 MFW524286 MPS524286 MZO524286 NJK524286 NTG524286 ODC524286 OMY524286 OWU524286 PGQ524286 PQM524286 QAI524286 QKE524286 QUA524286 RDW524286 RNS524286 RXO524286 SHK524286 SRG524286 TBC524286 TKY524286 TUU524286 UEQ524286 UOM524286 UYI524286 VIE524286 VSA524286 WBW524286 WLS524286 WVO524286 G589822 JC589822 SY589822 ACU589822 AMQ589822 AWM589822 BGI589822 BQE589822 CAA589822 CJW589822 CTS589822 DDO589822 DNK589822 DXG589822 EHC589822 EQY589822 FAU589822 FKQ589822 FUM589822 GEI589822 GOE589822 GYA589822 HHW589822 HRS589822 IBO589822 ILK589822 IVG589822 JFC589822 JOY589822 JYU589822 KIQ589822 KSM589822 LCI589822 LME589822 LWA589822 MFW589822 MPS589822 MZO589822 NJK589822 NTG589822 ODC589822 OMY589822 OWU589822 PGQ589822 PQM589822 QAI589822 QKE589822 QUA589822 RDW589822 RNS589822 RXO589822 SHK589822 SRG589822 TBC589822 TKY589822 TUU589822 UEQ589822 UOM589822 UYI589822 VIE589822 VSA589822 WBW589822 WLS589822 WVO589822 G655358 JC655358 SY655358 ACU655358 AMQ655358 AWM655358 BGI655358 BQE655358 CAA655358 CJW655358 CTS655358 DDO655358 DNK655358 DXG655358 EHC655358 EQY655358 FAU655358 FKQ655358 FUM655358 GEI655358 GOE655358 GYA655358 HHW655358 HRS655358 IBO655358 ILK655358 IVG655358 JFC655358 JOY655358 JYU655358 KIQ655358 KSM655358 LCI655358 LME655358 LWA655358 MFW655358 MPS655358 MZO655358 NJK655358 NTG655358 ODC655358 OMY655358 OWU655358 PGQ655358 PQM655358 QAI655358 QKE655358 QUA655358 RDW655358 RNS655358 RXO655358 SHK655358 SRG655358 TBC655358 TKY655358 TUU655358 UEQ655358 UOM655358 UYI655358 VIE655358 VSA655358 WBW655358 WLS655358 WVO655358 G720894 JC720894 SY720894 ACU720894 AMQ720894 AWM720894 BGI720894 BQE720894 CAA720894 CJW720894 CTS720894 DDO720894 DNK720894 DXG720894 EHC720894 EQY720894 FAU720894 FKQ720894 FUM720894 GEI720894 GOE720894 GYA720894 HHW720894 HRS720894 IBO720894 ILK720894 IVG720894 JFC720894 JOY720894 JYU720894 KIQ720894 KSM720894 LCI720894 LME720894 LWA720894 MFW720894 MPS720894 MZO720894 NJK720894 NTG720894 ODC720894 OMY720894 OWU720894 PGQ720894 PQM720894 QAI720894 QKE720894 QUA720894 RDW720894 RNS720894 RXO720894 SHK720894 SRG720894 TBC720894 TKY720894 TUU720894 UEQ720894 UOM720894 UYI720894 VIE720894 VSA720894 WBW720894 WLS720894 WVO720894 G786430 JC786430 SY786430 ACU786430 AMQ786430 AWM786430 BGI786430 BQE786430 CAA786430 CJW786430 CTS786430 DDO786430 DNK786430 DXG786430 EHC786430 EQY786430 FAU786430 FKQ786430 FUM786430 GEI786430 GOE786430 GYA786430 HHW786430 HRS786430 IBO786430 ILK786430 IVG786430 JFC786430 JOY786430 JYU786430 KIQ786430 KSM786430 LCI786430 LME786430 LWA786430 MFW786430 MPS786430 MZO786430 NJK786430 NTG786430 ODC786430 OMY786430 OWU786430 PGQ786430 PQM786430 QAI786430 QKE786430 QUA786430 RDW786430 RNS786430 RXO786430 SHK786430 SRG786430 TBC786430 TKY786430 TUU786430 UEQ786430 UOM786430 UYI786430 VIE786430 VSA786430 WBW786430 WLS786430 WVO786430 G851966 JC851966 SY851966 ACU851966 AMQ851966 AWM851966 BGI851966 BQE851966 CAA851966 CJW851966 CTS851966 DDO851966 DNK851966 DXG851966 EHC851966 EQY851966 FAU851966 FKQ851966 FUM851966 GEI851966 GOE851966 GYA851966 HHW851966 HRS851966 IBO851966 ILK851966 IVG851966 JFC851966 JOY851966 JYU851966 KIQ851966 KSM851966 LCI851966 LME851966 LWA851966 MFW851966 MPS851966 MZO851966 NJK851966 NTG851966 ODC851966 OMY851966 OWU851966 PGQ851966 PQM851966 QAI851966 QKE851966 QUA851966 RDW851966 RNS851966 RXO851966 SHK851966 SRG851966 TBC851966 TKY851966 TUU851966 UEQ851966 UOM851966 UYI851966 VIE851966 VSA851966 WBW851966 WLS851966 WVO851966 G917502 JC917502 SY917502 ACU917502 AMQ917502 AWM917502 BGI917502 BQE917502 CAA917502 CJW917502 CTS917502 DDO917502 DNK917502 DXG917502 EHC917502 EQY917502 FAU917502 FKQ917502 FUM917502 GEI917502 GOE917502 GYA917502 HHW917502 HRS917502 IBO917502 ILK917502 IVG917502 JFC917502 JOY917502 JYU917502 KIQ917502 KSM917502 LCI917502 LME917502 LWA917502 MFW917502 MPS917502 MZO917502 NJK917502 NTG917502 ODC917502 OMY917502 OWU917502 PGQ917502 PQM917502 QAI917502 QKE917502 QUA917502 RDW917502 RNS917502 RXO917502 SHK917502 SRG917502 TBC917502 TKY917502 TUU917502 UEQ917502 UOM917502 UYI917502 VIE917502 VSA917502 WBW917502 WLS917502 WVO917502 G983038 JC983038 SY983038 ACU983038 AMQ983038 AWM983038 BGI983038 BQE983038 CAA983038 CJW983038 CTS983038 DDO983038 DNK983038 DXG983038 EHC983038 EQY983038 FAU983038 FKQ983038 FUM983038 GEI983038 GOE983038 GYA983038 HHW983038 HRS983038 IBO983038 ILK983038 IVG983038 JFC983038 JOY983038 JYU983038 KIQ983038 KSM983038 LCI983038 LME983038 LWA983038 MFW983038 MPS983038 MZO983038 NJK983038 NTG983038 ODC983038 OMY983038 OWU983038 PGQ983038 PQM983038 QAI983038 QKE983038 QUA983038 RDW983038 RNS983038 RXO983038 SHK983038 SRG983038 TBC983038 TKY983038 TUU983038 UEQ983038 UOM983038 UYI983038 VIE983038 VSA983038 WBW983038 WLS983038 WVO983038"/>
    <dataValidation allowBlank="1" showInputMessage="1" showErrorMessage="1" prompt="Chưa bao gồm chi chuyển giao ngân sách " sqref="WVP98303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F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F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F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F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F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F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F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F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F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F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F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F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F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F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34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H131070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H196606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H262142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H327678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H393214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H458750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H524286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H589822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H655358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H720894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H786430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H851966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H917502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H983038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dataValidation allowBlank="1" showInputMessage="1" showErrorMessage="1" prompt="_x000a_" sqref="F8"/>
  </dataValidations>
  <printOptions horizontalCentered="1"/>
  <pageMargins left="0" right="0" top="0.75" bottom="0.4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4"/>
  <sheetViews>
    <sheetView workbookViewId="0">
      <pane xSplit="2" ySplit="7" topLeftCell="C26" activePane="bottomRight" state="frozen"/>
      <selection pane="topRight" activeCell="C1" sqref="C1"/>
      <selection pane="bottomLeft" activeCell="A8" sqref="A8"/>
      <selection pane="bottomRight" activeCell="D35" sqref="D35"/>
    </sheetView>
  </sheetViews>
  <sheetFormatPr defaultColWidth="9.109375" defaultRowHeight="15.6" x14ac:dyDescent="0.3"/>
  <cols>
    <col min="1" max="1" width="6.88671875" style="46" customWidth="1"/>
    <col min="2" max="2" width="56.44140625" style="46" customWidth="1"/>
    <col min="3" max="3" width="12.88671875" style="46" customWidth="1"/>
    <col min="4" max="4" width="13.44140625" style="46" customWidth="1"/>
    <col min="5" max="5" width="11.44140625" style="46" customWidth="1"/>
    <col min="6" max="6" width="13.109375" style="46" customWidth="1"/>
    <col min="7" max="7" width="15.44140625" style="46" bestFit="1" customWidth="1"/>
    <col min="8" max="8" width="11.44140625" style="46" bestFit="1" customWidth="1"/>
    <col min="9" max="9" width="10.109375" style="46" bestFit="1" customWidth="1"/>
    <col min="10" max="10" width="9.109375" style="46"/>
    <col min="11" max="11" width="11.44140625" style="46" bestFit="1" customWidth="1"/>
    <col min="12" max="16384" width="9.109375" style="46"/>
  </cols>
  <sheetData>
    <row r="1" spans="1:11" x14ac:dyDescent="0.3">
      <c r="A1" s="52"/>
      <c r="D1" s="52" t="s">
        <v>79</v>
      </c>
    </row>
    <row r="2" spans="1:11" x14ac:dyDescent="0.3">
      <c r="A2" s="53"/>
    </row>
    <row r="3" spans="1:11" ht="16.8" x14ac:dyDescent="0.3">
      <c r="A3" s="291" t="s">
        <v>253</v>
      </c>
      <c r="B3" s="291"/>
      <c r="C3" s="291"/>
      <c r="D3" s="291"/>
      <c r="E3" s="291"/>
    </row>
    <row r="4" spans="1:11" x14ac:dyDescent="0.3">
      <c r="A4" s="292" t="s">
        <v>538</v>
      </c>
      <c r="B4" s="292"/>
      <c r="C4" s="292"/>
      <c r="D4" s="292"/>
      <c r="E4" s="292"/>
    </row>
    <row r="5" spans="1:11" x14ac:dyDescent="0.3">
      <c r="B5" s="38"/>
      <c r="C5" s="54"/>
      <c r="D5" s="150" t="s">
        <v>160</v>
      </c>
    </row>
    <row r="6" spans="1:11" ht="31.2" x14ac:dyDescent="0.3">
      <c r="A6" s="55" t="s">
        <v>2</v>
      </c>
      <c r="B6" s="55" t="s">
        <v>3</v>
      </c>
      <c r="C6" s="55" t="s">
        <v>37</v>
      </c>
      <c r="D6" s="55" t="s">
        <v>5</v>
      </c>
      <c r="E6" s="55" t="s">
        <v>6</v>
      </c>
      <c r="F6" s="18"/>
      <c r="G6" s="50"/>
    </row>
    <row r="7" spans="1:11" x14ac:dyDescent="0.3">
      <c r="A7" s="56" t="s">
        <v>7</v>
      </c>
      <c r="B7" s="56" t="s">
        <v>8</v>
      </c>
      <c r="C7" s="56">
        <v>1</v>
      </c>
      <c r="D7" s="56">
        <v>2</v>
      </c>
      <c r="E7" s="56" t="s">
        <v>9</v>
      </c>
      <c r="G7" s="50"/>
      <c r="H7" s="50"/>
    </row>
    <row r="8" spans="1:11" s="151" customFormat="1" ht="19.5" customHeight="1" x14ac:dyDescent="0.3">
      <c r="A8" s="57"/>
      <c r="B8" s="57" t="s">
        <v>20</v>
      </c>
      <c r="C8" s="58">
        <f>C9+C10+C42+C43</f>
        <v>6483942.0010000002</v>
      </c>
      <c r="D8" s="58">
        <f>D9+D10+D42+D43</f>
        <v>7740928.2055780003</v>
      </c>
      <c r="E8" s="59">
        <f>IF((C8&gt;0),D8/C8*100,0)</f>
        <v>119.3861420164483</v>
      </c>
      <c r="G8" s="152"/>
      <c r="H8" s="152"/>
    </row>
    <row r="9" spans="1:11" s="151" customFormat="1" ht="31.2" x14ac:dyDescent="0.3">
      <c r="A9" s="60" t="s">
        <v>7</v>
      </c>
      <c r="B9" s="40" t="s">
        <v>248</v>
      </c>
      <c r="C9" s="61">
        <v>2011709</v>
      </c>
      <c r="D9" s="61">
        <v>2011709</v>
      </c>
      <c r="E9" s="62">
        <f>IF((C9&gt;0),D9/C9*100,0)</f>
        <v>100</v>
      </c>
      <c r="F9" s="153"/>
      <c r="G9" s="153"/>
      <c r="H9" s="153"/>
    </row>
    <row r="10" spans="1:11" s="155" customFormat="1" x14ac:dyDescent="0.3">
      <c r="A10" s="60" t="s">
        <v>8</v>
      </c>
      <c r="B10" s="40" t="s">
        <v>80</v>
      </c>
      <c r="C10" s="61">
        <f>C11+C26+C38+C39+C40+C41</f>
        <v>4472233.0010000002</v>
      </c>
      <c r="D10" s="61">
        <f>D11+D26+D38+D39+D40+D41</f>
        <v>3684699.6505560004</v>
      </c>
      <c r="E10" s="62">
        <f>IF((C10&gt;0),D10/C10*100,0)</f>
        <v>82.390601065107617</v>
      </c>
      <c r="F10" s="154"/>
      <c r="H10" s="154"/>
      <c r="K10" s="153"/>
    </row>
    <row r="11" spans="1:11" s="151" customFormat="1" x14ac:dyDescent="0.3">
      <c r="A11" s="60" t="s">
        <v>41</v>
      </c>
      <c r="B11" s="40" t="s">
        <v>161</v>
      </c>
      <c r="C11" s="283">
        <f>C12+C24+C25</f>
        <v>1411880.0010000002</v>
      </c>
      <c r="D11" s="283">
        <f>D12+D24+D25</f>
        <v>1730080.9983000001</v>
      </c>
      <c r="E11" s="276">
        <f t="shared" ref="E11:E43" si="0">IF((C11&gt;0),D11/C11*100,0)</f>
        <v>122.53739673871902</v>
      </c>
      <c r="F11" s="277"/>
      <c r="G11" s="277"/>
      <c r="K11" s="153"/>
    </row>
    <row r="12" spans="1:11" s="155" customFormat="1" x14ac:dyDescent="0.3">
      <c r="A12" s="65">
        <v>1</v>
      </c>
      <c r="B12" s="64" t="s">
        <v>68</v>
      </c>
      <c r="C12" s="24">
        <v>1409036.0010000002</v>
      </c>
      <c r="D12" s="24">
        <v>1722260.9983000001</v>
      </c>
      <c r="E12" s="43">
        <f t="shared" si="0"/>
        <v>122.2297370030079</v>
      </c>
      <c r="F12" s="277"/>
      <c r="G12" s="278"/>
      <c r="H12" s="154"/>
      <c r="K12" s="154"/>
    </row>
    <row r="13" spans="1:11" s="155" customFormat="1" x14ac:dyDescent="0.3">
      <c r="A13" s="65"/>
      <c r="B13" s="66" t="s">
        <v>127</v>
      </c>
      <c r="C13" s="23"/>
      <c r="D13" s="23"/>
      <c r="E13" s="63"/>
      <c r="K13" s="154"/>
    </row>
    <row r="14" spans="1:11" s="155" customFormat="1" x14ac:dyDescent="0.3">
      <c r="A14" s="70" t="s">
        <v>81</v>
      </c>
      <c r="B14" s="74" t="s">
        <v>69</v>
      </c>
      <c r="C14" s="75">
        <v>23566.203000000001</v>
      </c>
      <c r="D14" s="75">
        <v>58401.723709999991</v>
      </c>
      <c r="E14" s="63">
        <f t="shared" si="0"/>
        <v>247.81982786959779</v>
      </c>
      <c r="H14" s="156"/>
      <c r="I14" s="156"/>
      <c r="K14" s="154"/>
    </row>
    <row r="15" spans="1:11" s="155" customFormat="1" x14ac:dyDescent="0.3">
      <c r="A15" s="70" t="s">
        <v>82</v>
      </c>
      <c r="B15" s="74" t="s">
        <v>70</v>
      </c>
      <c r="C15" s="75">
        <v>22000</v>
      </c>
      <c r="D15" s="75">
        <v>16026.487697</v>
      </c>
      <c r="E15" s="63">
        <f t="shared" si="0"/>
        <v>72.847671349999999</v>
      </c>
    </row>
    <row r="16" spans="1:11" s="155" customFormat="1" x14ac:dyDescent="0.3">
      <c r="A16" s="70" t="s">
        <v>83</v>
      </c>
      <c r="B16" s="74" t="s">
        <v>84</v>
      </c>
      <c r="C16" s="75">
        <v>75334.138999999996</v>
      </c>
      <c r="D16" s="75">
        <v>86642.150076000005</v>
      </c>
      <c r="E16" s="63">
        <f t="shared" si="0"/>
        <v>115.01047363931511</v>
      </c>
      <c r="H16" s="154"/>
    </row>
    <row r="17" spans="1:8" s="155" customFormat="1" x14ac:dyDescent="0.3">
      <c r="A17" s="70" t="s">
        <v>85</v>
      </c>
      <c r="B17" s="74" t="s">
        <v>86</v>
      </c>
      <c r="C17" s="75">
        <v>5162</v>
      </c>
      <c r="D17" s="75">
        <v>1953.19</v>
      </c>
      <c r="E17" s="63">
        <f t="shared" si="0"/>
        <v>37.837853545137548</v>
      </c>
    </row>
    <row r="18" spans="1:8" s="155" customFormat="1" x14ac:dyDescent="0.3">
      <c r="A18" s="70" t="s">
        <v>87</v>
      </c>
      <c r="B18" s="74" t="s">
        <v>88</v>
      </c>
      <c r="C18" s="75">
        <v>9080</v>
      </c>
      <c r="D18" s="75">
        <v>8217.8590000000004</v>
      </c>
      <c r="E18" s="63">
        <f t="shared" si="0"/>
        <v>90.505055066079294</v>
      </c>
    </row>
    <row r="19" spans="1:8" s="155" customFormat="1" x14ac:dyDescent="0.3">
      <c r="A19" s="70" t="s">
        <v>89</v>
      </c>
      <c r="B19" s="74" t="s">
        <v>90</v>
      </c>
      <c r="C19" s="75">
        <v>14310</v>
      </c>
      <c r="D19" s="75">
        <v>23960.145949999998</v>
      </c>
      <c r="E19" s="63">
        <f t="shared" si="0"/>
        <v>167.4363798043326</v>
      </c>
    </row>
    <row r="20" spans="1:8" s="155" customFormat="1" x14ac:dyDescent="0.3">
      <c r="A20" s="70" t="s">
        <v>91</v>
      </c>
      <c r="B20" s="74" t="s">
        <v>92</v>
      </c>
      <c r="C20" s="75">
        <v>19460</v>
      </c>
      <c r="D20" s="75">
        <v>30336.41346</v>
      </c>
      <c r="E20" s="63">
        <f t="shared" si="0"/>
        <v>155.89112774922918</v>
      </c>
      <c r="G20" s="154"/>
    </row>
    <row r="21" spans="1:8" s="155" customFormat="1" x14ac:dyDescent="0.3">
      <c r="A21" s="70" t="s">
        <v>93</v>
      </c>
      <c r="B21" s="74" t="s">
        <v>94</v>
      </c>
      <c r="C21" s="75">
        <v>1217592.5430000001</v>
      </c>
      <c r="D21" s="75">
        <f>1419532.887068-D41</f>
        <v>1364620.567458</v>
      </c>
      <c r="E21" s="63">
        <f t="shared" si="0"/>
        <v>112.07530592259877</v>
      </c>
      <c r="G21" s="154"/>
    </row>
    <row r="22" spans="1:8" s="155" customFormat="1" x14ac:dyDescent="0.3">
      <c r="A22" s="70" t="s">
        <v>95</v>
      </c>
      <c r="B22" s="74" t="s">
        <v>96</v>
      </c>
      <c r="C22" s="75">
        <v>3524.5699999999997</v>
      </c>
      <c r="D22" s="75">
        <v>67082.389733999997</v>
      </c>
      <c r="E22" s="63">
        <f t="shared" si="0"/>
        <v>1903.2786902799489</v>
      </c>
    </row>
    <row r="23" spans="1:8" s="155" customFormat="1" x14ac:dyDescent="0.3">
      <c r="A23" s="70" t="s">
        <v>97</v>
      </c>
      <c r="B23" s="74" t="s">
        <v>98</v>
      </c>
      <c r="C23" s="75"/>
      <c r="D23" s="149">
        <v>0</v>
      </c>
      <c r="E23" s="63">
        <f t="shared" si="0"/>
        <v>0</v>
      </c>
    </row>
    <row r="24" spans="1:8" s="155" customFormat="1" ht="62.4" x14ac:dyDescent="0.3">
      <c r="A24" s="65">
        <v>2</v>
      </c>
      <c r="B24" s="64" t="s">
        <v>210</v>
      </c>
      <c r="C24" s="67">
        <v>2844</v>
      </c>
      <c r="D24" s="23">
        <v>7820</v>
      </c>
      <c r="E24" s="63">
        <f t="shared" si="0"/>
        <v>274.9648382559775</v>
      </c>
      <c r="H24" s="154"/>
    </row>
    <row r="25" spans="1:8" s="155" customFormat="1" x14ac:dyDescent="0.3">
      <c r="A25" s="65">
        <v>3</v>
      </c>
      <c r="B25" s="64" t="s">
        <v>73</v>
      </c>
      <c r="C25" s="63"/>
      <c r="D25" s="63"/>
      <c r="E25" s="63"/>
      <c r="H25" s="154"/>
    </row>
    <row r="26" spans="1:8" s="151" customFormat="1" x14ac:dyDescent="0.3">
      <c r="A26" s="60" t="s">
        <v>27</v>
      </c>
      <c r="B26" s="40" t="s">
        <v>24</v>
      </c>
      <c r="C26" s="283">
        <v>2111122</v>
      </c>
      <c r="D26" s="283">
        <v>1880185.332646</v>
      </c>
      <c r="E26" s="276">
        <f t="shared" si="0"/>
        <v>89.060951126746829</v>
      </c>
      <c r="F26" s="277"/>
    </row>
    <row r="27" spans="1:8" s="151" customFormat="1" x14ac:dyDescent="0.3">
      <c r="A27" s="60"/>
      <c r="B27" s="66" t="s">
        <v>127</v>
      </c>
      <c r="C27" s="61"/>
      <c r="D27" s="61"/>
      <c r="E27" s="62"/>
    </row>
    <row r="28" spans="1:8" s="155" customFormat="1" x14ac:dyDescent="0.3">
      <c r="A28" s="70">
        <v>1</v>
      </c>
      <c r="B28" s="64" t="s">
        <v>69</v>
      </c>
      <c r="C28" s="23">
        <v>433830</v>
      </c>
      <c r="D28" s="23">
        <v>407229.41332200001</v>
      </c>
      <c r="E28" s="63">
        <f t="shared" si="0"/>
        <v>93.868430795933889</v>
      </c>
    </row>
    <row r="29" spans="1:8" s="155" customFormat="1" x14ac:dyDescent="0.3">
      <c r="A29" s="70">
        <v>2</v>
      </c>
      <c r="B29" s="64" t="s">
        <v>70</v>
      </c>
      <c r="C29" s="23">
        <v>14890</v>
      </c>
      <c r="D29" s="23">
        <v>10370</v>
      </c>
      <c r="E29" s="63">
        <f t="shared" si="0"/>
        <v>69.644056413700469</v>
      </c>
    </row>
    <row r="30" spans="1:8" s="155" customFormat="1" x14ac:dyDescent="0.3">
      <c r="A30" s="70">
        <v>3</v>
      </c>
      <c r="B30" s="64" t="s">
        <v>84</v>
      </c>
      <c r="C30" s="68">
        <v>607763</v>
      </c>
      <c r="D30" s="23">
        <v>596269</v>
      </c>
      <c r="E30" s="63">
        <f t="shared" si="0"/>
        <v>98.108802279836056</v>
      </c>
    </row>
    <row r="31" spans="1:8" s="155" customFormat="1" x14ac:dyDescent="0.3">
      <c r="A31" s="70">
        <v>4</v>
      </c>
      <c r="B31" s="64" t="s">
        <v>86</v>
      </c>
      <c r="C31" s="68">
        <v>43742</v>
      </c>
      <c r="D31" s="23">
        <v>30957</v>
      </c>
      <c r="E31" s="63">
        <f t="shared" si="0"/>
        <v>70.771798271683963</v>
      </c>
    </row>
    <row r="32" spans="1:8" s="155" customFormat="1" x14ac:dyDescent="0.3">
      <c r="A32" s="70">
        <v>5</v>
      </c>
      <c r="B32" s="64" t="s">
        <v>88</v>
      </c>
      <c r="C32" s="68">
        <v>15556</v>
      </c>
      <c r="D32" s="23">
        <v>15762</v>
      </c>
      <c r="E32" s="63">
        <f t="shared" si="0"/>
        <v>101.32424787863204</v>
      </c>
    </row>
    <row r="33" spans="1:5" s="155" customFormat="1" x14ac:dyDescent="0.3">
      <c r="A33" s="70">
        <v>6</v>
      </c>
      <c r="B33" s="64" t="s">
        <v>90</v>
      </c>
      <c r="C33" s="68">
        <v>10077</v>
      </c>
      <c r="D33" s="23">
        <v>10450</v>
      </c>
      <c r="E33" s="63">
        <f t="shared" si="0"/>
        <v>103.7014984618438</v>
      </c>
    </row>
    <row r="34" spans="1:5" s="155" customFormat="1" x14ac:dyDescent="0.3">
      <c r="A34" s="70">
        <v>7</v>
      </c>
      <c r="B34" s="64" t="s">
        <v>92</v>
      </c>
      <c r="C34" s="68">
        <v>5935</v>
      </c>
      <c r="D34" s="23">
        <v>5836</v>
      </c>
      <c r="E34" s="63">
        <f t="shared" si="0"/>
        <v>98.331929233361421</v>
      </c>
    </row>
    <row r="35" spans="1:5" s="155" customFormat="1" x14ac:dyDescent="0.3">
      <c r="A35" s="70">
        <v>8</v>
      </c>
      <c r="B35" s="64" t="s">
        <v>94</v>
      </c>
      <c r="C35" s="68">
        <v>432059</v>
      </c>
      <c r="D35" s="68">
        <v>340992</v>
      </c>
      <c r="E35" s="63">
        <f t="shared" si="0"/>
        <v>78.922554558520943</v>
      </c>
    </row>
    <row r="36" spans="1:5" s="155" customFormat="1" x14ac:dyDescent="0.3">
      <c r="A36" s="70">
        <v>9</v>
      </c>
      <c r="B36" s="64" t="s">
        <v>96</v>
      </c>
      <c r="C36" s="68">
        <v>353769</v>
      </c>
      <c r="D36" s="68">
        <v>342489</v>
      </c>
      <c r="E36" s="63">
        <f t="shared" si="0"/>
        <v>96.811478676763656</v>
      </c>
    </row>
    <row r="37" spans="1:5" s="155" customFormat="1" x14ac:dyDescent="0.3">
      <c r="A37" s="70">
        <v>10</v>
      </c>
      <c r="B37" s="64" t="s">
        <v>98</v>
      </c>
      <c r="C37" s="68">
        <v>65662</v>
      </c>
      <c r="D37" s="68">
        <v>20798</v>
      </c>
      <c r="E37" s="63">
        <f t="shared" si="0"/>
        <v>31.674332186043682</v>
      </c>
    </row>
    <row r="38" spans="1:5" s="151" customFormat="1" ht="31.2" x14ac:dyDescent="0.3">
      <c r="A38" s="60" t="s">
        <v>31</v>
      </c>
      <c r="B38" s="212" t="s">
        <v>259</v>
      </c>
      <c r="C38" s="69">
        <v>1300</v>
      </c>
      <c r="D38" s="69">
        <v>18521</v>
      </c>
      <c r="E38" s="62">
        <f t="shared" si="0"/>
        <v>1424.6923076923076</v>
      </c>
    </row>
    <row r="39" spans="1:5" s="151" customFormat="1" x14ac:dyDescent="0.3">
      <c r="A39" s="60" t="s">
        <v>58</v>
      </c>
      <c r="B39" s="40" t="s">
        <v>497</v>
      </c>
      <c r="C39" s="69">
        <v>1000</v>
      </c>
      <c r="D39" s="69">
        <v>1000</v>
      </c>
      <c r="E39" s="62">
        <f t="shared" si="0"/>
        <v>100</v>
      </c>
    </row>
    <row r="40" spans="1:5" s="151" customFormat="1" x14ac:dyDescent="0.3">
      <c r="A40" s="60" t="s">
        <v>75</v>
      </c>
      <c r="B40" s="40" t="s">
        <v>26</v>
      </c>
      <c r="C40" s="69">
        <v>66931</v>
      </c>
      <c r="D40" s="69"/>
      <c r="E40" s="63">
        <f t="shared" si="0"/>
        <v>0</v>
      </c>
    </row>
    <row r="41" spans="1:5" s="151" customFormat="1" ht="31.2" x14ac:dyDescent="0.3">
      <c r="A41" s="60" t="s">
        <v>76</v>
      </c>
      <c r="B41" s="40" t="s">
        <v>303</v>
      </c>
      <c r="C41" s="157">
        <v>880000</v>
      </c>
      <c r="D41" s="157">
        <v>54912.319609999999</v>
      </c>
      <c r="E41" s="62">
        <f t="shared" si="0"/>
        <v>6.2400363193181816</v>
      </c>
    </row>
    <row r="42" spans="1:5" s="151" customFormat="1" x14ac:dyDescent="0.3">
      <c r="A42" s="158" t="s">
        <v>33</v>
      </c>
      <c r="B42" s="159" t="s">
        <v>78</v>
      </c>
      <c r="C42" s="157"/>
      <c r="D42" s="157">
        <v>1859411.5550220001</v>
      </c>
      <c r="E42" s="63">
        <f t="shared" si="0"/>
        <v>0</v>
      </c>
    </row>
    <row r="43" spans="1:5" s="151" customFormat="1" x14ac:dyDescent="0.3">
      <c r="A43" s="160" t="s">
        <v>34</v>
      </c>
      <c r="B43" s="161" t="s">
        <v>247</v>
      </c>
      <c r="C43" s="162"/>
      <c r="D43" s="162">
        <v>185108</v>
      </c>
      <c r="E43" s="163">
        <f t="shared" si="0"/>
        <v>0</v>
      </c>
    </row>
    <row r="44" spans="1:5" x14ac:dyDescent="0.3">
      <c r="C44" s="49"/>
      <c r="D44" s="49"/>
    </row>
  </sheetData>
  <mergeCells count="2">
    <mergeCell ref="A3:E3"/>
    <mergeCell ref="A4:E4"/>
  </mergeCells>
  <dataValidations count="1">
    <dataValidation allowBlank="1" showInputMessage="1" showErrorMessage="1" prompt="Theo quy định không công khai chi tiết lĩnh vực chi an ninh, quốc phòng" sqref="C12 C26"/>
  </dataValidations>
  <printOptions horizontalCentered="1"/>
  <pageMargins left="0" right="0" top="0.75" bottom="0.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120"/>
  <sheetViews>
    <sheetView zoomScale="70" zoomScaleNormal="70" workbookViewId="0">
      <pane xSplit="2" ySplit="9" topLeftCell="C58" activePane="bottomRight" state="frozen"/>
      <selection pane="topRight" activeCell="C1" sqref="C1"/>
      <selection pane="bottomLeft" activeCell="A10" sqref="A10"/>
      <selection pane="bottomRight" activeCell="B76" sqref="B76"/>
    </sheetView>
  </sheetViews>
  <sheetFormatPr defaultColWidth="9.109375" defaultRowHeight="15.6" outlineLevelCol="1" x14ac:dyDescent="0.3"/>
  <cols>
    <col min="1" max="1" width="6.44140625" style="46" customWidth="1"/>
    <col min="2" max="2" width="45.109375" style="46" customWidth="1"/>
    <col min="3" max="5" width="11.44140625" style="46" customWidth="1"/>
    <col min="6" max="8" width="17.109375" style="46" hidden="1" customWidth="1" outlineLevel="1"/>
    <col min="9" max="9" width="13.44140625" style="46" customWidth="1" collapsed="1"/>
    <col min="10" max="10" width="13.5546875" style="46" customWidth="1"/>
    <col min="11" max="11" width="11.109375" style="46" customWidth="1"/>
    <col min="12" max="12" width="11.88671875" style="46" customWidth="1"/>
    <col min="13" max="13" width="10.44140625" style="46" customWidth="1"/>
    <col min="14" max="14" width="11.44140625" style="46" customWidth="1"/>
    <col min="15" max="15" width="12.44140625" style="46" customWidth="1"/>
    <col min="16" max="16" width="12.88671875" style="46" customWidth="1"/>
    <col min="17" max="17" width="18.88671875" style="46" hidden="1" customWidth="1" outlineLevel="1"/>
    <col min="18" max="18" width="18.44140625" style="46" hidden="1" customWidth="1" outlineLevel="1"/>
    <col min="19" max="19" width="11.88671875" style="46" customWidth="1" collapsed="1"/>
    <col min="20" max="20" width="15.88671875" style="46" customWidth="1"/>
    <col min="21" max="21" width="13" style="46" customWidth="1"/>
    <col min="22" max="22" width="12.44140625" style="46" customWidth="1"/>
    <col min="23" max="23" width="11.109375" style="46" customWidth="1"/>
    <col min="24" max="24" width="15.44140625" style="46" customWidth="1"/>
    <col min="25" max="25" width="13.5546875" style="46" hidden="1" customWidth="1" outlineLevel="1"/>
    <col min="26" max="26" width="11.5546875" style="46" hidden="1" customWidth="1" outlineLevel="1"/>
    <col min="27" max="27" width="12.44140625" style="46" customWidth="1" collapsed="1"/>
    <col min="28" max="28" width="9.44140625" style="46" customWidth="1"/>
    <col min="29" max="29" width="10.5546875" style="46" customWidth="1"/>
    <col min="30" max="30" width="9.5546875" style="46" customWidth="1"/>
    <col min="31" max="31" width="11.44140625" style="46" customWidth="1"/>
    <col min="32" max="32" width="9.109375" style="222"/>
    <col min="33" max="33" width="12.5546875" style="46" bestFit="1" customWidth="1"/>
    <col min="34" max="34" width="20.109375" style="46" bestFit="1" customWidth="1"/>
    <col min="35" max="256" width="9.109375" style="46"/>
    <col min="257" max="257" width="5.44140625" style="46" customWidth="1"/>
    <col min="258" max="258" width="45.109375" style="46" customWidth="1"/>
    <col min="259" max="259" width="15.109375" style="46" customWidth="1"/>
    <col min="260" max="260" width="16.44140625" style="46" customWidth="1"/>
    <col min="261" max="261" width="17.109375" style="46" customWidth="1"/>
    <col min="262" max="264" width="0" style="46" hidden="1" customWidth="1"/>
    <col min="265" max="266" width="15.88671875" style="46" customWidth="1"/>
    <col min="267" max="267" width="11.109375" style="46" customWidth="1"/>
    <col min="268" max="268" width="11.88671875" style="46" customWidth="1"/>
    <col min="269" max="269" width="10.44140625" style="46" customWidth="1"/>
    <col min="270" max="270" width="16.44140625" style="46" customWidth="1"/>
    <col min="271" max="271" width="14.109375" style="46" customWidth="1"/>
    <col min="272" max="272" width="15.88671875" style="46" customWidth="1"/>
    <col min="273" max="274" width="0" style="46" hidden="1" customWidth="1"/>
    <col min="275" max="275" width="11.88671875" style="46" customWidth="1"/>
    <col min="276" max="276" width="15.88671875" style="46" customWidth="1"/>
    <col min="277" max="277" width="15.44140625" style="46" customWidth="1"/>
    <col min="278" max="278" width="12.44140625" style="46" customWidth="1"/>
    <col min="279" max="279" width="11.109375" style="46" customWidth="1"/>
    <col min="280" max="280" width="15.44140625" style="46" customWidth="1"/>
    <col min="281" max="282" width="0" style="46" hidden="1" customWidth="1"/>
    <col min="283" max="283" width="15" style="46" customWidth="1"/>
    <col min="284" max="284" width="9.44140625" style="46" customWidth="1"/>
    <col min="285" max="285" width="10.5546875" style="46" customWidth="1"/>
    <col min="286" max="286" width="9.5546875" style="46" customWidth="1"/>
    <col min="287" max="287" width="11.44140625" style="46" customWidth="1"/>
    <col min="288" max="288" width="9.109375" style="46"/>
    <col min="289" max="289" width="12.5546875" style="46" bestFit="1" customWidth="1"/>
    <col min="290" max="290" width="20.109375" style="46" bestFit="1" customWidth="1"/>
    <col min="291" max="512" width="9.109375" style="46"/>
    <col min="513" max="513" width="5.44140625" style="46" customWidth="1"/>
    <col min="514" max="514" width="45.109375" style="46" customWidth="1"/>
    <col min="515" max="515" width="15.109375" style="46" customWidth="1"/>
    <col min="516" max="516" width="16.44140625" style="46" customWidth="1"/>
    <col min="517" max="517" width="17.109375" style="46" customWidth="1"/>
    <col min="518" max="520" width="0" style="46" hidden="1" customWidth="1"/>
    <col min="521" max="522" width="15.88671875" style="46" customWidth="1"/>
    <col min="523" max="523" width="11.109375" style="46" customWidth="1"/>
    <col min="524" max="524" width="11.88671875" style="46" customWidth="1"/>
    <col min="525" max="525" width="10.44140625" style="46" customWidth="1"/>
    <col min="526" max="526" width="16.44140625" style="46" customWidth="1"/>
    <col min="527" max="527" width="14.109375" style="46" customWidth="1"/>
    <col min="528" max="528" width="15.88671875" style="46" customWidth="1"/>
    <col min="529" max="530" width="0" style="46" hidden="1" customWidth="1"/>
    <col min="531" max="531" width="11.88671875" style="46" customWidth="1"/>
    <col min="532" max="532" width="15.88671875" style="46" customWidth="1"/>
    <col min="533" max="533" width="15.44140625" style="46" customWidth="1"/>
    <col min="534" max="534" width="12.44140625" style="46" customWidth="1"/>
    <col min="535" max="535" width="11.109375" style="46" customWidth="1"/>
    <col min="536" max="536" width="15.44140625" style="46" customWidth="1"/>
    <col min="537" max="538" width="0" style="46" hidden="1" customWidth="1"/>
    <col min="539" max="539" width="15" style="46" customWidth="1"/>
    <col min="540" max="540" width="9.44140625" style="46" customWidth="1"/>
    <col min="541" max="541" width="10.5546875" style="46" customWidth="1"/>
    <col min="542" max="542" width="9.5546875" style="46" customWidth="1"/>
    <col min="543" max="543" width="11.44140625" style="46" customWidth="1"/>
    <col min="544" max="544" width="9.109375" style="46"/>
    <col min="545" max="545" width="12.5546875" style="46" bestFit="1" customWidth="1"/>
    <col min="546" max="546" width="20.109375" style="46" bestFit="1" customWidth="1"/>
    <col min="547" max="768" width="9.109375" style="46"/>
    <col min="769" max="769" width="5.44140625" style="46" customWidth="1"/>
    <col min="770" max="770" width="45.109375" style="46" customWidth="1"/>
    <col min="771" max="771" width="15.109375" style="46" customWidth="1"/>
    <col min="772" max="772" width="16.44140625" style="46" customWidth="1"/>
    <col min="773" max="773" width="17.109375" style="46" customWidth="1"/>
    <col min="774" max="776" width="0" style="46" hidden="1" customWidth="1"/>
    <col min="777" max="778" width="15.88671875" style="46" customWidth="1"/>
    <col min="779" max="779" width="11.109375" style="46" customWidth="1"/>
    <col min="780" max="780" width="11.88671875" style="46" customWidth="1"/>
    <col min="781" max="781" width="10.44140625" style="46" customWidth="1"/>
    <col min="782" max="782" width="16.44140625" style="46" customWidth="1"/>
    <col min="783" max="783" width="14.109375" style="46" customWidth="1"/>
    <col min="784" max="784" width="15.88671875" style="46" customWidth="1"/>
    <col min="785" max="786" width="0" style="46" hidden="1" customWidth="1"/>
    <col min="787" max="787" width="11.88671875" style="46" customWidth="1"/>
    <col min="788" max="788" width="15.88671875" style="46" customWidth="1"/>
    <col min="789" max="789" width="15.44140625" style="46" customWidth="1"/>
    <col min="790" max="790" width="12.44140625" style="46" customWidth="1"/>
    <col min="791" max="791" width="11.109375" style="46" customWidth="1"/>
    <col min="792" max="792" width="15.44140625" style="46" customWidth="1"/>
    <col min="793" max="794" width="0" style="46" hidden="1" customWidth="1"/>
    <col min="795" max="795" width="15" style="46" customWidth="1"/>
    <col min="796" max="796" width="9.44140625" style="46" customWidth="1"/>
    <col min="797" max="797" width="10.5546875" style="46" customWidth="1"/>
    <col min="798" max="798" width="9.5546875" style="46" customWidth="1"/>
    <col min="799" max="799" width="11.44140625" style="46" customWidth="1"/>
    <col min="800" max="800" width="9.109375" style="46"/>
    <col min="801" max="801" width="12.5546875" style="46" bestFit="1" customWidth="1"/>
    <col min="802" max="802" width="20.109375" style="46" bestFit="1" customWidth="1"/>
    <col min="803" max="1024" width="9.109375" style="46"/>
    <col min="1025" max="1025" width="5.44140625" style="46" customWidth="1"/>
    <col min="1026" max="1026" width="45.109375" style="46" customWidth="1"/>
    <col min="1027" max="1027" width="15.109375" style="46" customWidth="1"/>
    <col min="1028" max="1028" width="16.44140625" style="46" customWidth="1"/>
    <col min="1029" max="1029" width="17.109375" style="46" customWidth="1"/>
    <col min="1030" max="1032" width="0" style="46" hidden="1" customWidth="1"/>
    <col min="1033" max="1034" width="15.88671875" style="46" customWidth="1"/>
    <col min="1035" max="1035" width="11.109375" style="46" customWidth="1"/>
    <col min="1036" max="1036" width="11.88671875" style="46" customWidth="1"/>
    <col min="1037" max="1037" width="10.44140625" style="46" customWidth="1"/>
    <col min="1038" max="1038" width="16.44140625" style="46" customWidth="1"/>
    <col min="1039" max="1039" width="14.109375" style="46" customWidth="1"/>
    <col min="1040" max="1040" width="15.88671875" style="46" customWidth="1"/>
    <col min="1041" max="1042" width="0" style="46" hidden="1" customWidth="1"/>
    <col min="1043" max="1043" width="11.88671875" style="46" customWidth="1"/>
    <col min="1044" max="1044" width="15.88671875" style="46" customWidth="1"/>
    <col min="1045" max="1045" width="15.44140625" style="46" customWidth="1"/>
    <col min="1046" max="1046" width="12.44140625" style="46" customWidth="1"/>
    <col min="1047" max="1047" width="11.109375" style="46" customWidth="1"/>
    <col min="1048" max="1048" width="15.44140625" style="46" customWidth="1"/>
    <col min="1049" max="1050" width="0" style="46" hidden="1" customWidth="1"/>
    <col min="1051" max="1051" width="15" style="46" customWidth="1"/>
    <col min="1052" max="1052" width="9.44140625" style="46" customWidth="1"/>
    <col min="1053" max="1053" width="10.5546875" style="46" customWidth="1"/>
    <col min="1054" max="1054" width="9.5546875" style="46" customWidth="1"/>
    <col min="1055" max="1055" width="11.44140625" style="46" customWidth="1"/>
    <col min="1056" max="1056" width="9.109375" style="46"/>
    <col min="1057" max="1057" width="12.5546875" style="46" bestFit="1" customWidth="1"/>
    <col min="1058" max="1058" width="20.109375" style="46" bestFit="1" customWidth="1"/>
    <col min="1059" max="1280" width="9.109375" style="46"/>
    <col min="1281" max="1281" width="5.44140625" style="46" customWidth="1"/>
    <col min="1282" max="1282" width="45.109375" style="46" customWidth="1"/>
    <col min="1283" max="1283" width="15.109375" style="46" customWidth="1"/>
    <col min="1284" max="1284" width="16.44140625" style="46" customWidth="1"/>
    <col min="1285" max="1285" width="17.109375" style="46" customWidth="1"/>
    <col min="1286" max="1288" width="0" style="46" hidden="1" customWidth="1"/>
    <col min="1289" max="1290" width="15.88671875" style="46" customWidth="1"/>
    <col min="1291" max="1291" width="11.109375" style="46" customWidth="1"/>
    <col min="1292" max="1292" width="11.88671875" style="46" customWidth="1"/>
    <col min="1293" max="1293" width="10.44140625" style="46" customWidth="1"/>
    <col min="1294" max="1294" width="16.44140625" style="46" customWidth="1"/>
    <col min="1295" max="1295" width="14.109375" style="46" customWidth="1"/>
    <col min="1296" max="1296" width="15.88671875" style="46" customWidth="1"/>
    <col min="1297" max="1298" width="0" style="46" hidden="1" customWidth="1"/>
    <col min="1299" max="1299" width="11.88671875" style="46" customWidth="1"/>
    <col min="1300" max="1300" width="15.88671875" style="46" customWidth="1"/>
    <col min="1301" max="1301" width="15.44140625" style="46" customWidth="1"/>
    <col min="1302" max="1302" width="12.44140625" style="46" customWidth="1"/>
    <col min="1303" max="1303" width="11.109375" style="46" customWidth="1"/>
    <col min="1304" max="1304" width="15.44140625" style="46" customWidth="1"/>
    <col min="1305" max="1306" width="0" style="46" hidden="1" customWidth="1"/>
    <col min="1307" max="1307" width="15" style="46" customWidth="1"/>
    <col min="1308" max="1308" width="9.44140625" style="46" customWidth="1"/>
    <col min="1309" max="1309" width="10.5546875" style="46" customWidth="1"/>
    <col min="1310" max="1310" width="9.5546875" style="46" customWidth="1"/>
    <col min="1311" max="1311" width="11.44140625" style="46" customWidth="1"/>
    <col min="1312" max="1312" width="9.109375" style="46"/>
    <col min="1313" max="1313" width="12.5546875" style="46" bestFit="1" customWidth="1"/>
    <col min="1314" max="1314" width="20.109375" style="46" bestFit="1" customWidth="1"/>
    <col min="1315" max="1536" width="9.109375" style="46"/>
    <col min="1537" max="1537" width="5.44140625" style="46" customWidth="1"/>
    <col min="1538" max="1538" width="45.109375" style="46" customWidth="1"/>
    <col min="1539" max="1539" width="15.109375" style="46" customWidth="1"/>
    <col min="1540" max="1540" width="16.44140625" style="46" customWidth="1"/>
    <col min="1541" max="1541" width="17.109375" style="46" customWidth="1"/>
    <col min="1542" max="1544" width="0" style="46" hidden="1" customWidth="1"/>
    <col min="1545" max="1546" width="15.88671875" style="46" customWidth="1"/>
    <col min="1547" max="1547" width="11.109375" style="46" customWidth="1"/>
    <col min="1548" max="1548" width="11.88671875" style="46" customWidth="1"/>
    <col min="1549" max="1549" width="10.44140625" style="46" customWidth="1"/>
    <col min="1550" max="1550" width="16.44140625" style="46" customWidth="1"/>
    <col min="1551" max="1551" width="14.109375" style="46" customWidth="1"/>
    <col min="1552" max="1552" width="15.88671875" style="46" customWidth="1"/>
    <col min="1553" max="1554" width="0" style="46" hidden="1" customWidth="1"/>
    <col min="1555" max="1555" width="11.88671875" style="46" customWidth="1"/>
    <col min="1556" max="1556" width="15.88671875" style="46" customWidth="1"/>
    <col min="1557" max="1557" width="15.44140625" style="46" customWidth="1"/>
    <col min="1558" max="1558" width="12.44140625" style="46" customWidth="1"/>
    <col min="1559" max="1559" width="11.109375" style="46" customWidth="1"/>
    <col min="1560" max="1560" width="15.44140625" style="46" customWidth="1"/>
    <col min="1561" max="1562" width="0" style="46" hidden="1" customWidth="1"/>
    <col min="1563" max="1563" width="15" style="46" customWidth="1"/>
    <col min="1564" max="1564" width="9.44140625" style="46" customWidth="1"/>
    <col min="1565" max="1565" width="10.5546875" style="46" customWidth="1"/>
    <col min="1566" max="1566" width="9.5546875" style="46" customWidth="1"/>
    <col min="1567" max="1567" width="11.44140625" style="46" customWidth="1"/>
    <col min="1568" max="1568" width="9.109375" style="46"/>
    <col min="1569" max="1569" width="12.5546875" style="46" bestFit="1" customWidth="1"/>
    <col min="1570" max="1570" width="20.109375" style="46" bestFit="1" customWidth="1"/>
    <col min="1571" max="1792" width="9.109375" style="46"/>
    <col min="1793" max="1793" width="5.44140625" style="46" customWidth="1"/>
    <col min="1794" max="1794" width="45.109375" style="46" customWidth="1"/>
    <col min="1795" max="1795" width="15.109375" style="46" customWidth="1"/>
    <col min="1796" max="1796" width="16.44140625" style="46" customWidth="1"/>
    <col min="1797" max="1797" width="17.109375" style="46" customWidth="1"/>
    <col min="1798" max="1800" width="0" style="46" hidden="1" customWidth="1"/>
    <col min="1801" max="1802" width="15.88671875" style="46" customWidth="1"/>
    <col min="1803" max="1803" width="11.109375" style="46" customWidth="1"/>
    <col min="1804" max="1804" width="11.88671875" style="46" customWidth="1"/>
    <col min="1805" max="1805" width="10.44140625" style="46" customWidth="1"/>
    <col min="1806" max="1806" width="16.44140625" style="46" customWidth="1"/>
    <col min="1807" max="1807" width="14.109375" style="46" customWidth="1"/>
    <col min="1808" max="1808" width="15.88671875" style="46" customWidth="1"/>
    <col min="1809" max="1810" width="0" style="46" hidden="1" customWidth="1"/>
    <col min="1811" max="1811" width="11.88671875" style="46" customWidth="1"/>
    <col min="1812" max="1812" width="15.88671875" style="46" customWidth="1"/>
    <col min="1813" max="1813" width="15.44140625" style="46" customWidth="1"/>
    <col min="1814" max="1814" width="12.44140625" style="46" customWidth="1"/>
    <col min="1815" max="1815" width="11.109375" style="46" customWidth="1"/>
    <col min="1816" max="1816" width="15.44140625" style="46" customWidth="1"/>
    <col min="1817" max="1818" width="0" style="46" hidden="1" customWidth="1"/>
    <col min="1819" max="1819" width="15" style="46" customWidth="1"/>
    <col min="1820" max="1820" width="9.44140625" style="46" customWidth="1"/>
    <col min="1821" max="1821" width="10.5546875" style="46" customWidth="1"/>
    <col min="1822" max="1822" width="9.5546875" style="46" customWidth="1"/>
    <col min="1823" max="1823" width="11.44140625" style="46" customWidth="1"/>
    <col min="1824" max="1824" width="9.109375" style="46"/>
    <col min="1825" max="1825" width="12.5546875" style="46" bestFit="1" customWidth="1"/>
    <col min="1826" max="1826" width="20.109375" style="46" bestFit="1" customWidth="1"/>
    <col min="1827" max="2048" width="9.109375" style="46"/>
    <col min="2049" max="2049" width="5.44140625" style="46" customWidth="1"/>
    <col min="2050" max="2050" width="45.109375" style="46" customWidth="1"/>
    <col min="2051" max="2051" width="15.109375" style="46" customWidth="1"/>
    <col min="2052" max="2052" width="16.44140625" style="46" customWidth="1"/>
    <col min="2053" max="2053" width="17.109375" style="46" customWidth="1"/>
    <col min="2054" max="2056" width="0" style="46" hidden="1" customWidth="1"/>
    <col min="2057" max="2058" width="15.88671875" style="46" customWidth="1"/>
    <col min="2059" max="2059" width="11.109375" style="46" customWidth="1"/>
    <col min="2060" max="2060" width="11.88671875" style="46" customWidth="1"/>
    <col min="2061" max="2061" width="10.44140625" style="46" customWidth="1"/>
    <col min="2062" max="2062" width="16.44140625" style="46" customWidth="1"/>
    <col min="2063" max="2063" width="14.109375" style="46" customWidth="1"/>
    <col min="2064" max="2064" width="15.88671875" style="46" customWidth="1"/>
    <col min="2065" max="2066" width="0" style="46" hidden="1" customWidth="1"/>
    <col min="2067" max="2067" width="11.88671875" style="46" customWidth="1"/>
    <col min="2068" max="2068" width="15.88671875" style="46" customWidth="1"/>
    <col min="2069" max="2069" width="15.44140625" style="46" customWidth="1"/>
    <col min="2070" max="2070" width="12.44140625" style="46" customWidth="1"/>
    <col min="2071" max="2071" width="11.109375" style="46" customWidth="1"/>
    <col min="2072" max="2072" width="15.44140625" style="46" customWidth="1"/>
    <col min="2073" max="2074" width="0" style="46" hidden="1" customWidth="1"/>
    <col min="2075" max="2075" width="15" style="46" customWidth="1"/>
    <col min="2076" max="2076" width="9.44140625" style="46" customWidth="1"/>
    <col min="2077" max="2077" width="10.5546875" style="46" customWidth="1"/>
    <col min="2078" max="2078" width="9.5546875" style="46" customWidth="1"/>
    <col min="2079" max="2079" width="11.44140625" style="46" customWidth="1"/>
    <col min="2080" max="2080" width="9.109375" style="46"/>
    <col min="2081" max="2081" width="12.5546875" style="46" bestFit="1" customWidth="1"/>
    <col min="2082" max="2082" width="20.109375" style="46" bestFit="1" customWidth="1"/>
    <col min="2083" max="2304" width="9.109375" style="46"/>
    <col min="2305" max="2305" width="5.44140625" style="46" customWidth="1"/>
    <col min="2306" max="2306" width="45.109375" style="46" customWidth="1"/>
    <col min="2307" max="2307" width="15.109375" style="46" customWidth="1"/>
    <col min="2308" max="2308" width="16.44140625" style="46" customWidth="1"/>
    <col min="2309" max="2309" width="17.109375" style="46" customWidth="1"/>
    <col min="2310" max="2312" width="0" style="46" hidden="1" customWidth="1"/>
    <col min="2313" max="2314" width="15.88671875" style="46" customWidth="1"/>
    <col min="2315" max="2315" width="11.109375" style="46" customWidth="1"/>
    <col min="2316" max="2316" width="11.88671875" style="46" customWidth="1"/>
    <col min="2317" max="2317" width="10.44140625" style="46" customWidth="1"/>
    <col min="2318" max="2318" width="16.44140625" style="46" customWidth="1"/>
    <col min="2319" max="2319" width="14.109375" style="46" customWidth="1"/>
    <col min="2320" max="2320" width="15.88671875" style="46" customWidth="1"/>
    <col min="2321" max="2322" width="0" style="46" hidden="1" customWidth="1"/>
    <col min="2323" max="2323" width="11.88671875" style="46" customWidth="1"/>
    <col min="2324" max="2324" width="15.88671875" style="46" customWidth="1"/>
    <col min="2325" max="2325" width="15.44140625" style="46" customWidth="1"/>
    <col min="2326" max="2326" width="12.44140625" style="46" customWidth="1"/>
    <col min="2327" max="2327" width="11.109375" style="46" customWidth="1"/>
    <col min="2328" max="2328" width="15.44140625" style="46" customWidth="1"/>
    <col min="2329" max="2330" width="0" style="46" hidden="1" customWidth="1"/>
    <col min="2331" max="2331" width="15" style="46" customWidth="1"/>
    <col min="2332" max="2332" width="9.44140625" style="46" customWidth="1"/>
    <col min="2333" max="2333" width="10.5546875" style="46" customWidth="1"/>
    <col min="2334" max="2334" width="9.5546875" style="46" customWidth="1"/>
    <col min="2335" max="2335" width="11.44140625" style="46" customWidth="1"/>
    <col min="2336" max="2336" width="9.109375" style="46"/>
    <col min="2337" max="2337" width="12.5546875" style="46" bestFit="1" customWidth="1"/>
    <col min="2338" max="2338" width="20.109375" style="46" bestFit="1" customWidth="1"/>
    <col min="2339" max="2560" width="9.109375" style="46"/>
    <col min="2561" max="2561" width="5.44140625" style="46" customWidth="1"/>
    <col min="2562" max="2562" width="45.109375" style="46" customWidth="1"/>
    <col min="2563" max="2563" width="15.109375" style="46" customWidth="1"/>
    <col min="2564" max="2564" width="16.44140625" style="46" customWidth="1"/>
    <col min="2565" max="2565" width="17.109375" style="46" customWidth="1"/>
    <col min="2566" max="2568" width="0" style="46" hidden="1" customWidth="1"/>
    <col min="2569" max="2570" width="15.88671875" style="46" customWidth="1"/>
    <col min="2571" max="2571" width="11.109375" style="46" customWidth="1"/>
    <col min="2572" max="2572" width="11.88671875" style="46" customWidth="1"/>
    <col min="2573" max="2573" width="10.44140625" style="46" customWidth="1"/>
    <col min="2574" max="2574" width="16.44140625" style="46" customWidth="1"/>
    <col min="2575" max="2575" width="14.109375" style="46" customWidth="1"/>
    <col min="2576" max="2576" width="15.88671875" style="46" customWidth="1"/>
    <col min="2577" max="2578" width="0" style="46" hidden="1" customWidth="1"/>
    <col min="2579" max="2579" width="11.88671875" style="46" customWidth="1"/>
    <col min="2580" max="2580" width="15.88671875" style="46" customWidth="1"/>
    <col min="2581" max="2581" width="15.44140625" style="46" customWidth="1"/>
    <col min="2582" max="2582" width="12.44140625" style="46" customWidth="1"/>
    <col min="2583" max="2583" width="11.109375" style="46" customWidth="1"/>
    <col min="2584" max="2584" width="15.44140625" style="46" customWidth="1"/>
    <col min="2585" max="2586" width="0" style="46" hidden="1" customWidth="1"/>
    <col min="2587" max="2587" width="15" style="46" customWidth="1"/>
    <col min="2588" max="2588" width="9.44140625" style="46" customWidth="1"/>
    <col min="2589" max="2589" width="10.5546875" style="46" customWidth="1"/>
    <col min="2590" max="2590" width="9.5546875" style="46" customWidth="1"/>
    <col min="2591" max="2591" width="11.44140625" style="46" customWidth="1"/>
    <col min="2592" max="2592" width="9.109375" style="46"/>
    <col min="2593" max="2593" width="12.5546875" style="46" bestFit="1" customWidth="1"/>
    <col min="2594" max="2594" width="20.109375" style="46" bestFit="1" customWidth="1"/>
    <col min="2595" max="2816" width="9.109375" style="46"/>
    <col min="2817" max="2817" width="5.44140625" style="46" customWidth="1"/>
    <col min="2818" max="2818" width="45.109375" style="46" customWidth="1"/>
    <col min="2819" max="2819" width="15.109375" style="46" customWidth="1"/>
    <col min="2820" max="2820" width="16.44140625" style="46" customWidth="1"/>
    <col min="2821" max="2821" width="17.109375" style="46" customWidth="1"/>
    <col min="2822" max="2824" width="0" style="46" hidden="1" customWidth="1"/>
    <col min="2825" max="2826" width="15.88671875" style="46" customWidth="1"/>
    <col min="2827" max="2827" width="11.109375" style="46" customWidth="1"/>
    <col min="2828" max="2828" width="11.88671875" style="46" customWidth="1"/>
    <col min="2829" max="2829" width="10.44140625" style="46" customWidth="1"/>
    <col min="2830" max="2830" width="16.44140625" style="46" customWidth="1"/>
    <col min="2831" max="2831" width="14.109375" style="46" customWidth="1"/>
    <col min="2832" max="2832" width="15.88671875" style="46" customWidth="1"/>
    <col min="2833" max="2834" width="0" style="46" hidden="1" customWidth="1"/>
    <col min="2835" max="2835" width="11.88671875" style="46" customWidth="1"/>
    <col min="2836" max="2836" width="15.88671875" style="46" customWidth="1"/>
    <col min="2837" max="2837" width="15.44140625" style="46" customWidth="1"/>
    <col min="2838" max="2838" width="12.44140625" style="46" customWidth="1"/>
    <col min="2839" max="2839" width="11.109375" style="46" customWidth="1"/>
    <col min="2840" max="2840" width="15.44140625" style="46" customWidth="1"/>
    <col min="2841" max="2842" width="0" style="46" hidden="1" customWidth="1"/>
    <col min="2843" max="2843" width="15" style="46" customWidth="1"/>
    <col min="2844" max="2844" width="9.44140625" style="46" customWidth="1"/>
    <col min="2845" max="2845" width="10.5546875" style="46" customWidth="1"/>
    <col min="2846" max="2846" width="9.5546875" style="46" customWidth="1"/>
    <col min="2847" max="2847" width="11.44140625" style="46" customWidth="1"/>
    <col min="2848" max="2848" width="9.109375" style="46"/>
    <col min="2849" max="2849" width="12.5546875" style="46" bestFit="1" customWidth="1"/>
    <col min="2850" max="2850" width="20.109375" style="46" bestFit="1" customWidth="1"/>
    <col min="2851" max="3072" width="9.109375" style="46"/>
    <col min="3073" max="3073" width="5.44140625" style="46" customWidth="1"/>
    <col min="3074" max="3074" width="45.109375" style="46" customWidth="1"/>
    <col min="3075" max="3075" width="15.109375" style="46" customWidth="1"/>
    <col min="3076" max="3076" width="16.44140625" style="46" customWidth="1"/>
    <col min="3077" max="3077" width="17.109375" style="46" customWidth="1"/>
    <col min="3078" max="3080" width="0" style="46" hidden="1" customWidth="1"/>
    <col min="3081" max="3082" width="15.88671875" style="46" customWidth="1"/>
    <col min="3083" max="3083" width="11.109375" style="46" customWidth="1"/>
    <col min="3084" max="3084" width="11.88671875" style="46" customWidth="1"/>
    <col min="3085" max="3085" width="10.44140625" style="46" customWidth="1"/>
    <col min="3086" max="3086" width="16.44140625" style="46" customWidth="1"/>
    <col min="3087" max="3087" width="14.109375" style="46" customWidth="1"/>
    <col min="3088" max="3088" width="15.88671875" style="46" customWidth="1"/>
    <col min="3089" max="3090" width="0" style="46" hidden="1" customWidth="1"/>
    <col min="3091" max="3091" width="11.88671875" style="46" customWidth="1"/>
    <col min="3092" max="3092" width="15.88671875" style="46" customWidth="1"/>
    <col min="3093" max="3093" width="15.44140625" style="46" customWidth="1"/>
    <col min="3094" max="3094" width="12.44140625" style="46" customWidth="1"/>
    <col min="3095" max="3095" width="11.109375" style="46" customWidth="1"/>
    <col min="3096" max="3096" width="15.44140625" style="46" customWidth="1"/>
    <col min="3097" max="3098" width="0" style="46" hidden="1" customWidth="1"/>
    <col min="3099" max="3099" width="15" style="46" customWidth="1"/>
    <col min="3100" max="3100" width="9.44140625" style="46" customWidth="1"/>
    <col min="3101" max="3101" width="10.5546875" style="46" customWidth="1"/>
    <col min="3102" max="3102" width="9.5546875" style="46" customWidth="1"/>
    <col min="3103" max="3103" width="11.44140625" style="46" customWidth="1"/>
    <col min="3104" max="3104" width="9.109375" style="46"/>
    <col min="3105" max="3105" width="12.5546875" style="46" bestFit="1" customWidth="1"/>
    <col min="3106" max="3106" width="20.109375" style="46" bestFit="1" customWidth="1"/>
    <col min="3107" max="3328" width="9.109375" style="46"/>
    <col min="3329" max="3329" width="5.44140625" style="46" customWidth="1"/>
    <col min="3330" max="3330" width="45.109375" style="46" customWidth="1"/>
    <col min="3331" max="3331" width="15.109375" style="46" customWidth="1"/>
    <col min="3332" max="3332" width="16.44140625" style="46" customWidth="1"/>
    <col min="3333" max="3333" width="17.109375" style="46" customWidth="1"/>
    <col min="3334" max="3336" width="0" style="46" hidden="1" customWidth="1"/>
    <col min="3337" max="3338" width="15.88671875" style="46" customWidth="1"/>
    <col min="3339" max="3339" width="11.109375" style="46" customWidth="1"/>
    <col min="3340" max="3340" width="11.88671875" style="46" customWidth="1"/>
    <col min="3341" max="3341" width="10.44140625" style="46" customWidth="1"/>
    <col min="3342" max="3342" width="16.44140625" style="46" customWidth="1"/>
    <col min="3343" max="3343" width="14.109375" style="46" customWidth="1"/>
    <col min="3344" max="3344" width="15.88671875" style="46" customWidth="1"/>
    <col min="3345" max="3346" width="0" style="46" hidden="1" customWidth="1"/>
    <col min="3347" max="3347" width="11.88671875" style="46" customWidth="1"/>
    <col min="3348" max="3348" width="15.88671875" style="46" customWidth="1"/>
    <col min="3349" max="3349" width="15.44140625" style="46" customWidth="1"/>
    <col min="3350" max="3350" width="12.44140625" style="46" customWidth="1"/>
    <col min="3351" max="3351" width="11.109375" style="46" customWidth="1"/>
    <col min="3352" max="3352" width="15.44140625" style="46" customWidth="1"/>
    <col min="3353" max="3354" width="0" style="46" hidden="1" customWidth="1"/>
    <col min="3355" max="3355" width="15" style="46" customWidth="1"/>
    <col min="3356" max="3356" width="9.44140625" style="46" customWidth="1"/>
    <col min="3357" max="3357" width="10.5546875" style="46" customWidth="1"/>
    <col min="3358" max="3358" width="9.5546875" style="46" customWidth="1"/>
    <col min="3359" max="3359" width="11.44140625" style="46" customWidth="1"/>
    <col min="3360" max="3360" width="9.109375" style="46"/>
    <col min="3361" max="3361" width="12.5546875" style="46" bestFit="1" customWidth="1"/>
    <col min="3362" max="3362" width="20.109375" style="46" bestFit="1" customWidth="1"/>
    <col min="3363" max="3584" width="9.109375" style="46"/>
    <col min="3585" max="3585" width="5.44140625" style="46" customWidth="1"/>
    <col min="3586" max="3586" width="45.109375" style="46" customWidth="1"/>
    <col min="3587" max="3587" width="15.109375" style="46" customWidth="1"/>
    <col min="3588" max="3588" width="16.44140625" style="46" customWidth="1"/>
    <col min="3589" max="3589" width="17.109375" style="46" customWidth="1"/>
    <col min="3590" max="3592" width="0" style="46" hidden="1" customWidth="1"/>
    <col min="3593" max="3594" width="15.88671875" style="46" customWidth="1"/>
    <col min="3595" max="3595" width="11.109375" style="46" customWidth="1"/>
    <col min="3596" max="3596" width="11.88671875" style="46" customWidth="1"/>
    <col min="3597" max="3597" width="10.44140625" style="46" customWidth="1"/>
    <col min="3598" max="3598" width="16.44140625" style="46" customWidth="1"/>
    <col min="3599" max="3599" width="14.109375" style="46" customWidth="1"/>
    <col min="3600" max="3600" width="15.88671875" style="46" customWidth="1"/>
    <col min="3601" max="3602" width="0" style="46" hidden="1" customWidth="1"/>
    <col min="3603" max="3603" width="11.88671875" style="46" customWidth="1"/>
    <col min="3604" max="3604" width="15.88671875" style="46" customWidth="1"/>
    <col min="3605" max="3605" width="15.44140625" style="46" customWidth="1"/>
    <col min="3606" max="3606" width="12.44140625" style="46" customWidth="1"/>
    <col min="3607" max="3607" width="11.109375" style="46" customWidth="1"/>
    <col min="3608" max="3608" width="15.44140625" style="46" customWidth="1"/>
    <col min="3609" max="3610" width="0" style="46" hidden="1" customWidth="1"/>
    <col min="3611" max="3611" width="15" style="46" customWidth="1"/>
    <col min="3612" max="3612" width="9.44140625" style="46" customWidth="1"/>
    <col min="3613" max="3613" width="10.5546875" style="46" customWidth="1"/>
    <col min="3614" max="3614" width="9.5546875" style="46" customWidth="1"/>
    <col min="3615" max="3615" width="11.44140625" style="46" customWidth="1"/>
    <col min="3616" max="3616" width="9.109375" style="46"/>
    <col min="3617" max="3617" width="12.5546875" style="46" bestFit="1" customWidth="1"/>
    <col min="3618" max="3618" width="20.109375" style="46" bestFit="1" customWidth="1"/>
    <col min="3619" max="3840" width="9.109375" style="46"/>
    <col min="3841" max="3841" width="5.44140625" style="46" customWidth="1"/>
    <col min="3842" max="3842" width="45.109375" style="46" customWidth="1"/>
    <col min="3843" max="3843" width="15.109375" style="46" customWidth="1"/>
    <col min="3844" max="3844" width="16.44140625" style="46" customWidth="1"/>
    <col min="3845" max="3845" width="17.109375" style="46" customWidth="1"/>
    <col min="3846" max="3848" width="0" style="46" hidden="1" customWidth="1"/>
    <col min="3849" max="3850" width="15.88671875" style="46" customWidth="1"/>
    <col min="3851" max="3851" width="11.109375" style="46" customWidth="1"/>
    <col min="3852" max="3852" width="11.88671875" style="46" customWidth="1"/>
    <col min="3853" max="3853" width="10.44140625" style="46" customWidth="1"/>
    <col min="3854" max="3854" width="16.44140625" style="46" customWidth="1"/>
    <col min="3855" max="3855" width="14.109375" style="46" customWidth="1"/>
    <col min="3856" max="3856" width="15.88671875" style="46" customWidth="1"/>
    <col min="3857" max="3858" width="0" style="46" hidden="1" customWidth="1"/>
    <col min="3859" max="3859" width="11.88671875" style="46" customWidth="1"/>
    <col min="3860" max="3860" width="15.88671875" style="46" customWidth="1"/>
    <col min="3861" max="3861" width="15.44140625" style="46" customWidth="1"/>
    <col min="3862" max="3862" width="12.44140625" style="46" customWidth="1"/>
    <col min="3863" max="3863" width="11.109375" style="46" customWidth="1"/>
    <col min="3864" max="3864" width="15.44140625" style="46" customWidth="1"/>
    <col min="3865" max="3866" width="0" style="46" hidden="1" customWidth="1"/>
    <col min="3867" max="3867" width="15" style="46" customWidth="1"/>
    <col min="3868" max="3868" width="9.44140625" style="46" customWidth="1"/>
    <col min="3869" max="3869" width="10.5546875" style="46" customWidth="1"/>
    <col min="3870" max="3870" width="9.5546875" style="46" customWidth="1"/>
    <col min="3871" max="3871" width="11.44140625" style="46" customWidth="1"/>
    <col min="3872" max="3872" width="9.109375" style="46"/>
    <col min="3873" max="3873" width="12.5546875" style="46" bestFit="1" customWidth="1"/>
    <col min="3874" max="3874" width="20.109375" style="46" bestFit="1" customWidth="1"/>
    <col min="3875" max="4096" width="9.109375" style="46"/>
    <col min="4097" max="4097" width="5.44140625" style="46" customWidth="1"/>
    <col min="4098" max="4098" width="45.109375" style="46" customWidth="1"/>
    <col min="4099" max="4099" width="15.109375" style="46" customWidth="1"/>
    <col min="4100" max="4100" width="16.44140625" style="46" customWidth="1"/>
    <col min="4101" max="4101" width="17.109375" style="46" customWidth="1"/>
    <col min="4102" max="4104" width="0" style="46" hidden="1" customWidth="1"/>
    <col min="4105" max="4106" width="15.88671875" style="46" customWidth="1"/>
    <col min="4107" max="4107" width="11.109375" style="46" customWidth="1"/>
    <col min="4108" max="4108" width="11.88671875" style="46" customWidth="1"/>
    <col min="4109" max="4109" width="10.44140625" style="46" customWidth="1"/>
    <col min="4110" max="4110" width="16.44140625" style="46" customWidth="1"/>
    <col min="4111" max="4111" width="14.109375" style="46" customWidth="1"/>
    <col min="4112" max="4112" width="15.88671875" style="46" customWidth="1"/>
    <col min="4113" max="4114" width="0" style="46" hidden="1" customWidth="1"/>
    <col min="4115" max="4115" width="11.88671875" style="46" customWidth="1"/>
    <col min="4116" max="4116" width="15.88671875" style="46" customWidth="1"/>
    <col min="4117" max="4117" width="15.44140625" style="46" customWidth="1"/>
    <col min="4118" max="4118" width="12.44140625" style="46" customWidth="1"/>
    <col min="4119" max="4119" width="11.109375" style="46" customWidth="1"/>
    <col min="4120" max="4120" width="15.44140625" style="46" customWidth="1"/>
    <col min="4121" max="4122" width="0" style="46" hidden="1" customWidth="1"/>
    <col min="4123" max="4123" width="15" style="46" customWidth="1"/>
    <col min="4124" max="4124" width="9.44140625" style="46" customWidth="1"/>
    <col min="4125" max="4125" width="10.5546875" style="46" customWidth="1"/>
    <col min="4126" max="4126" width="9.5546875" style="46" customWidth="1"/>
    <col min="4127" max="4127" width="11.44140625" style="46" customWidth="1"/>
    <col min="4128" max="4128" width="9.109375" style="46"/>
    <col min="4129" max="4129" width="12.5546875" style="46" bestFit="1" customWidth="1"/>
    <col min="4130" max="4130" width="20.109375" style="46" bestFit="1" customWidth="1"/>
    <col min="4131" max="4352" width="9.109375" style="46"/>
    <col min="4353" max="4353" width="5.44140625" style="46" customWidth="1"/>
    <col min="4354" max="4354" width="45.109375" style="46" customWidth="1"/>
    <col min="4355" max="4355" width="15.109375" style="46" customWidth="1"/>
    <col min="4356" max="4356" width="16.44140625" style="46" customWidth="1"/>
    <col min="4357" max="4357" width="17.109375" style="46" customWidth="1"/>
    <col min="4358" max="4360" width="0" style="46" hidden="1" customWidth="1"/>
    <col min="4361" max="4362" width="15.88671875" style="46" customWidth="1"/>
    <col min="4363" max="4363" width="11.109375" style="46" customWidth="1"/>
    <col min="4364" max="4364" width="11.88671875" style="46" customWidth="1"/>
    <col min="4365" max="4365" width="10.44140625" style="46" customWidth="1"/>
    <col min="4366" max="4366" width="16.44140625" style="46" customWidth="1"/>
    <col min="4367" max="4367" width="14.109375" style="46" customWidth="1"/>
    <col min="4368" max="4368" width="15.88671875" style="46" customWidth="1"/>
    <col min="4369" max="4370" width="0" style="46" hidden="1" customWidth="1"/>
    <col min="4371" max="4371" width="11.88671875" style="46" customWidth="1"/>
    <col min="4372" max="4372" width="15.88671875" style="46" customWidth="1"/>
    <col min="4373" max="4373" width="15.44140625" style="46" customWidth="1"/>
    <col min="4374" max="4374" width="12.44140625" style="46" customWidth="1"/>
    <col min="4375" max="4375" width="11.109375" style="46" customWidth="1"/>
    <col min="4376" max="4376" width="15.44140625" style="46" customWidth="1"/>
    <col min="4377" max="4378" width="0" style="46" hidden="1" customWidth="1"/>
    <col min="4379" max="4379" width="15" style="46" customWidth="1"/>
    <col min="4380" max="4380" width="9.44140625" style="46" customWidth="1"/>
    <col min="4381" max="4381" width="10.5546875" style="46" customWidth="1"/>
    <col min="4382" max="4382" width="9.5546875" style="46" customWidth="1"/>
    <col min="4383" max="4383" width="11.44140625" style="46" customWidth="1"/>
    <col min="4384" max="4384" width="9.109375" style="46"/>
    <col min="4385" max="4385" width="12.5546875" style="46" bestFit="1" customWidth="1"/>
    <col min="4386" max="4386" width="20.109375" style="46" bestFit="1" customWidth="1"/>
    <col min="4387" max="4608" width="9.109375" style="46"/>
    <col min="4609" max="4609" width="5.44140625" style="46" customWidth="1"/>
    <col min="4610" max="4610" width="45.109375" style="46" customWidth="1"/>
    <col min="4611" max="4611" width="15.109375" style="46" customWidth="1"/>
    <col min="4612" max="4612" width="16.44140625" style="46" customWidth="1"/>
    <col min="4613" max="4613" width="17.109375" style="46" customWidth="1"/>
    <col min="4614" max="4616" width="0" style="46" hidden="1" customWidth="1"/>
    <col min="4617" max="4618" width="15.88671875" style="46" customWidth="1"/>
    <col min="4619" max="4619" width="11.109375" style="46" customWidth="1"/>
    <col min="4620" max="4620" width="11.88671875" style="46" customWidth="1"/>
    <col min="4621" max="4621" width="10.44140625" style="46" customWidth="1"/>
    <col min="4622" max="4622" width="16.44140625" style="46" customWidth="1"/>
    <col min="4623" max="4623" width="14.109375" style="46" customWidth="1"/>
    <col min="4624" max="4624" width="15.88671875" style="46" customWidth="1"/>
    <col min="4625" max="4626" width="0" style="46" hidden="1" customWidth="1"/>
    <col min="4627" max="4627" width="11.88671875" style="46" customWidth="1"/>
    <col min="4628" max="4628" width="15.88671875" style="46" customWidth="1"/>
    <col min="4629" max="4629" width="15.44140625" style="46" customWidth="1"/>
    <col min="4630" max="4630" width="12.44140625" style="46" customWidth="1"/>
    <col min="4631" max="4631" width="11.109375" style="46" customWidth="1"/>
    <col min="4632" max="4632" width="15.44140625" style="46" customWidth="1"/>
    <col min="4633" max="4634" width="0" style="46" hidden="1" customWidth="1"/>
    <col min="4635" max="4635" width="15" style="46" customWidth="1"/>
    <col min="4636" max="4636" width="9.44140625" style="46" customWidth="1"/>
    <col min="4637" max="4637" width="10.5546875" style="46" customWidth="1"/>
    <col min="4638" max="4638" width="9.5546875" style="46" customWidth="1"/>
    <col min="4639" max="4639" width="11.44140625" style="46" customWidth="1"/>
    <col min="4640" max="4640" width="9.109375" style="46"/>
    <col min="4641" max="4641" width="12.5546875" style="46" bestFit="1" customWidth="1"/>
    <col min="4642" max="4642" width="20.109375" style="46" bestFit="1" customWidth="1"/>
    <col min="4643" max="4864" width="9.109375" style="46"/>
    <col min="4865" max="4865" width="5.44140625" style="46" customWidth="1"/>
    <col min="4866" max="4866" width="45.109375" style="46" customWidth="1"/>
    <col min="4867" max="4867" width="15.109375" style="46" customWidth="1"/>
    <col min="4868" max="4868" width="16.44140625" style="46" customWidth="1"/>
    <col min="4869" max="4869" width="17.109375" style="46" customWidth="1"/>
    <col min="4870" max="4872" width="0" style="46" hidden="1" customWidth="1"/>
    <col min="4873" max="4874" width="15.88671875" style="46" customWidth="1"/>
    <col min="4875" max="4875" width="11.109375" style="46" customWidth="1"/>
    <col min="4876" max="4876" width="11.88671875" style="46" customWidth="1"/>
    <col min="4877" max="4877" width="10.44140625" style="46" customWidth="1"/>
    <col min="4878" max="4878" width="16.44140625" style="46" customWidth="1"/>
    <col min="4879" max="4879" width="14.109375" style="46" customWidth="1"/>
    <col min="4880" max="4880" width="15.88671875" style="46" customWidth="1"/>
    <col min="4881" max="4882" width="0" style="46" hidden="1" customWidth="1"/>
    <col min="4883" max="4883" width="11.88671875" style="46" customWidth="1"/>
    <col min="4884" max="4884" width="15.88671875" style="46" customWidth="1"/>
    <col min="4885" max="4885" width="15.44140625" style="46" customWidth="1"/>
    <col min="4886" max="4886" width="12.44140625" style="46" customWidth="1"/>
    <col min="4887" max="4887" width="11.109375" style="46" customWidth="1"/>
    <col min="4888" max="4888" width="15.44140625" style="46" customWidth="1"/>
    <col min="4889" max="4890" width="0" style="46" hidden="1" customWidth="1"/>
    <col min="4891" max="4891" width="15" style="46" customWidth="1"/>
    <col min="4892" max="4892" width="9.44140625" style="46" customWidth="1"/>
    <col min="4893" max="4893" width="10.5546875" style="46" customWidth="1"/>
    <col min="4894" max="4894" width="9.5546875" style="46" customWidth="1"/>
    <col min="4895" max="4895" width="11.44140625" style="46" customWidth="1"/>
    <col min="4896" max="4896" width="9.109375" style="46"/>
    <col min="4897" max="4897" width="12.5546875" style="46" bestFit="1" customWidth="1"/>
    <col min="4898" max="4898" width="20.109375" style="46" bestFit="1" customWidth="1"/>
    <col min="4899" max="5120" width="9.109375" style="46"/>
    <col min="5121" max="5121" width="5.44140625" style="46" customWidth="1"/>
    <col min="5122" max="5122" width="45.109375" style="46" customWidth="1"/>
    <col min="5123" max="5123" width="15.109375" style="46" customWidth="1"/>
    <col min="5124" max="5124" width="16.44140625" style="46" customWidth="1"/>
    <col min="5125" max="5125" width="17.109375" style="46" customWidth="1"/>
    <col min="5126" max="5128" width="0" style="46" hidden="1" customWidth="1"/>
    <col min="5129" max="5130" width="15.88671875" style="46" customWidth="1"/>
    <col min="5131" max="5131" width="11.109375" style="46" customWidth="1"/>
    <col min="5132" max="5132" width="11.88671875" style="46" customWidth="1"/>
    <col min="5133" max="5133" width="10.44140625" style="46" customWidth="1"/>
    <col min="5134" max="5134" width="16.44140625" style="46" customWidth="1"/>
    <col min="5135" max="5135" width="14.109375" style="46" customWidth="1"/>
    <col min="5136" max="5136" width="15.88671875" style="46" customWidth="1"/>
    <col min="5137" max="5138" width="0" style="46" hidden="1" customWidth="1"/>
    <col min="5139" max="5139" width="11.88671875" style="46" customWidth="1"/>
    <col min="5140" max="5140" width="15.88671875" style="46" customWidth="1"/>
    <col min="5141" max="5141" width="15.44140625" style="46" customWidth="1"/>
    <col min="5142" max="5142" width="12.44140625" style="46" customWidth="1"/>
    <col min="5143" max="5143" width="11.109375" style="46" customWidth="1"/>
    <col min="5144" max="5144" width="15.44140625" style="46" customWidth="1"/>
    <col min="5145" max="5146" width="0" style="46" hidden="1" customWidth="1"/>
    <col min="5147" max="5147" width="15" style="46" customWidth="1"/>
    <col min="5148" max="5148" width="9.44140625" style="46" customWidth="1"/>
    <col min="5149" max="5149" width="10.5546875" style="46" customWidth="1"/>
    <col min="5150" max="5150" width="9.5546875" style="46" customWidth="1"/>
    <col min="5151" max="5151" width="11.44140625" style="46" customWidth="1"/>
    <col min="5152" max="5152" width="9.109375" style="46"/>
    <col min="5153" max="5153" width="12.5546875" style="46" bestFit="1" customWidth="1"/>
    <col min="5154" max="5154" width="20.109375" style="46" bestFit="1" customWidth="1"/>
    <col min="5155" max="5376" width="9.109375" style="46"/>
    <col min="5377" max="5377" width="5.44140625" style="46" customWidth="1"/>
    <col min="5378" max="5378" width="45.109375" style="46" customWidth="1"/>
    <col min="5379" max="5379" width="15.109375" style="46" customWidth="1"/>
    <col min="5380" max="5380" width="16.44140625" style="46" customWidth="1"/>
    <col min="5381" max="5381" width="17.109375" style="46" customWidth="1"/>
    <col min="5382" max="5384" width="0" style="46" hidden="1" customWidth="1"/>
    <col min="5385" max="5386" width="15.88671875" style="46" customWidth="1"/>
    <col min="5387" max="5387" width="11.109375" style="46" customWidth="1"/>
    <col min="5388" max="5388" width="11.88671875" style="46" customWidth="1"/>
    <col min="5389" max="5389" width="10.44140625" style="46" customWidth="1"/>
    <col min="5390" max="5390" width="16.44140625" style="46" customWidth="1"/>
    <col min="5391" max="5391" width="14.109375" style="46" customWidth="1"/>
    <col min="5392" max="5392" width="15.88671875" style="46" customWidth="1"/>
    <col min="5393" max="5394" width="0" style="46" hidden="1" customWidth="1"/>
    <col min="5395" max="5395" width="11.88671875" style="46" customWidth="1"/>
    <col min="5396" max="5396" width="15.88671875" style="46" customWidth="1"/>
    <col min="5397" max="5397" width="15.44140625" style="46" customWidth="1"/>
    <col min="5398" max="5398" width="12.44140625" style="46" customWidth="1"/>
    <col min="5399" max="5399" width="11.109375" style="46" customWidth="1"/>
    <col min="5400" max="5400" width="15.44140625" style="46" customWidth="1"/>
    <col min="5401" max="5402" width="0" style="46" hidden="1" customWidth="1"/>
    <col min="5403" max="5403" width="15" style="46" customWidth="1"/>
    <col min="5404" max="5404" width="9.44140625" style="46" customWidth="1"/>
    <col min="5405" max="5405" width="10.5546875" style="46" customWidth="1"/>
    <col min="5406" max="5406" width="9.5546875" style="46" customWidth="1"/>
    <col min="5407" max="5407" width="11.44140625" style="46" customWidth="1"/>
    <col min="5408" max="5408" width="9.109375" style="46"/>
    <col min="5409" max="5409" width="12.5546875" style="46" bestFit="1" customWidth="1"/>
    <col min="5410" max="5410" width="20.109375" style="46" bestFit="1" customWidth="1"/>
    <col min="5411" max="5632" width="9.109375" style="46"/>
    <col min="5633" max="5633" width="5.44140625" style="46" customWidth="1"/>
    <col min="5634" max="5634" width="45.109375" style="46" customWidth="1"/>
    <col min="5635" max="5635" width="15.109375" style="46" customWidth="1"/>
    <col min="5636" max="5636" width="16.44140625" style="46" customWidth="1"/>
    <col min="5637" max="5637" width="17.109375" style="46" customWidth="1"/>
    <col min="5638" max="5640" width="0" style="46" hidden="1" customWidth="1"/>
    <col min="5641" max="5642" width="15.88671875" style="46" customWidth="1"/>
    <col min="5643" max="5643" width="11.109375" style="46" customWidth="1"/>
    <col min="5644" max="5644" width="11.88671875" style="46" customWidth="1"/>
    <col min="5645" max="5645" width="10.44140625" style="46" customWidth="1"/>
    <col min="5646" max="5646" width="16.44140625" style="46" customWidth="1"/>
    <col min="5647" max="5647" width="14.109375" style="46" customWidth="1"/>
    <col min="5648" max="5648" width="15.88671875" style="46" customWidth="1"/>
    <col min="5649" max="5650" width="0" style="46" hidden="1" customWidth="1"/>
    <col min="5651" max="5651" width="11.88671875" style="46" customWidth="1"/>
    <col min="5652" max="5652" width="15.88671875" style="46" customWidth="1"/>
    <col min="5653" max="5653" width="15.44140625" style="46" customWidth="1"/>
    <col min="5654" max="5654" width="12.44140625" style="46" customWidth="1"/>
    <col min="5655" max="5655" width="11.109375" style="46" customWidth="1"/>
    <col min="5656" max="5656" width="15.44140625" style="46" customWidth="1"/>
    <col min="5657" max="5658" width="0" style="46" hidden="1" customWidth="1"/>
    <col min="5659" max="5659" width="15" style="46" customWidth="1"/>
    <col min="5660" max="5660" width="9.44140625" style="46" customWidth="1"/>
    <col min="5661" max="5661" width="10.5546875" style="46" customWidth="1"/>
    <col min="5662" max="5662" width="9.5546875" style="46" customWidth="1"/>
    <col min="5663" max="5663" width="11.44140625" style="46" customWidth="1"/>
    <col min="5664" max="5664" width="9.109375" style="46"/>
    <col min="5665" max="5665" width="12.5546875" style="46" bestFit="1" customWidth="1"/>
    <col min="5666" max="5666" width="20.109375" style="46" bestFit="1" customWidth="1"/>
    <col min="5667" max="5888" width="9.109375" style="46"/>
    <col min="5889" max="5889" width="5.44140625" style="46" customWidth="1"/>
    <col min="5890" max="5890" width="45.109375" style="46" customWidth="1"/>
    <col min="5891" max="5891" width="15.109375" style="46" customWidth="1"/>
    <col min="5892" max="5892" width="16.44140625" style="46" customWidth="1"/>
    <col min="5893" max="5893" width="17.109375" style="46" customWidth="1"/>
    <col min="5894" max="5896" width="0" style="46" hidden="1" customWidth="1"/>
    <col min="5897" max="5898" width="15.88671875" style="46" customWidth="1"/>
    <col min="5899" max="5899" width="11.109375" style="46" customWidth="1"/>
    <col min="5900" max="5900" width="11.88671875" style="46" customWidth="1"/>
    <col min="5901" max="5901" width="10.44140625" style="46" customWidth="1"/>
    <col min="5902" max="5902" width="16.44140625" style="46" customWidth="1"/>
    <col min="5903" max="5903" width="14.109375" style="46" customWidth="1"/>
    <col min="5904" max="5904" width="15.88671875" style="46" customWidth="1"/>
    <col min="5905" max="5906" width="0" style="46" hidden="1" customWidth="1"/>
    <col min="5907" max="5907" width="11.88671875" style="46" customWidth="1"/>
    <col min="5908" max="5908" width="15.88671875" style="46" customWidth="1"/>
    <col min="5909" max="5909" width="15.44140625" style="46" customWidth="1"/>
    <col min="5910" max="5910" width="12.44140625" style="46" customWidth="1"/>
    <col min="5911" max="5911" width="11.109375" style="46" customWidth="1"/>
    <col min="5912" max="5912" width="15.44140625" style="46" customWidth="1"/>
    <col min="5913" max="5914" width="0" style="46" hidden="1" customWidth="1"/>
    <col min="5915" max="5915" width="15" style="46" customWidth="1"/>
    <col min="5916" max="5916" width="9.44140625" style="46" customWidth="1"/>
    <col min="5917" max="5917" width="10.5546875" style="46" customWidth="1"/>
    <col min="5918" max="5918" width="9.5546875" style="46" customWidth="1"/>
    <col min="5919" max="5919" width="11.44140625" style="46" customWidth="1"/>
    <col min="5920" max="5920" width="9.109375" style="46"/>
    <col min="5921" max="5921" width="12.5546875" style="46" bestFit="1" customWidth="1"/>
    <col min="5922" max="5922" width="20.109375" style="46" bestFit="1" customWidth="1"/>
    <col min="5923" max="6144" width="9.109375" style="46"/>
    <col min="6145" max="6145" width="5.44140625" style="46" customWidth="1"/>
    <col min="6146" max="6146" width="45.109375" style="46" customWidth="1"/>
    <col min="6147" max="6147" width="15.109375" style="46" customWidth="1"/>
    <col min="6148" max="6148" width="16.44140625" style="46" customWidth="1"/>
    <col min="6149" max="6149" width="17.109375" style="46" customWidth="1"/>
    <col min="6150" max="6152" width="0" style="46" hidden="1" customWidth="1"/>
    <col min="6153" max="6154" width="15.88671875" style="46" customWidth="1"/>
    <col min="6155" max="6155" width="11.109375" style="46" customWidth="1"/>
    <col min="6156" max="6156" width="11.88671875" style="46" customWidth="1"/>
    <col min="6157" max="6157" width="10.44140625" style="46" customWidth="1"/>
    <col min="6158" max="6158" width="16.44140625" style="46" customWidth="1"/>
    <col min="6159" max="6159" width="14.109375" style="46" customWidth="1"/>
    <col min="6160" max="6160" width="15.88671875" style="46" customWidth="1"/>
    <col min="6161" max="6162" width="0" style="46" hidden="1" customWidth="1"/>
    <col min="6163" max="6163" width="11.88671875" style="46" customWidth="1"/>
    <col min="6164" max="6164" width="15.88671875" style="46" customWidth="1"/>
    <col min="6165" max="6165" width="15.44140625" style="46" customWidth="1"/>
    <col min="6166" max="6166" width="12.44140625" style="46" customWidth="1"/>
    <col min="6167" max="6167" width="11.109375" style="46" customWidth="1"/>
    <col min="6168" max="6168" width="15.44140625" style="46" customWidth="1"/>
    <col min="6169" max="6170" width="0" style="46" hidden="1" customWidth="1"/>
    <col min="6171" max="6171" width="15" style="46" customWidth="1"/>
    <col min="6172" max="6172" width="9.44140625" style="46" customWidth="1"/>
    <col min="6173" max="6173" width="10.5546875" style="46" customWidth="1"/>
    <col min="6174" max="6174" width="9.5546875" style="46" customWidth="1"/>
    <col min="6175" max="6175" width="11.44140625" style="46" customWidth="1"/>
    <col min="6176" max="6176" width="9.109375" style="46"/>
    <col min="6177" max="6177" width="12.5546875" style="46" bestFit="1" customWidth="1"/>
    <col min="6178" max="6178" width="20.109375" style="46" bestFit="1" customWidth="1"/>
    <col min="6179" max="6400" width="9.109375" style="46"/>
    <col min="6401" max="6401" width="5.44140625" style="46" customWidth="1"/>
    <col min="6402" max="6402" width="45.109375" style="46" customWidth="1"/>
    <col min="6403" max="6403" width="15.109375" style="46" customWidth="1"/>
    <col min="6404" max="6404" width="16.44140625" style="46" customWidth="1"/>
    <col min="6405" max="6405" width="17.109375" style="46" customWidth="1"/>
    <col min="6406" max="6408" width="0" style="46" hidden="1" customWidth="1"/>
    <col min="6409" max="6410" width="15.88671875" style="46" customWidth="1"/>
    <col min="6411" max="6411" width="11.109375" style="46" customWidth="1"/>
    <col min="6412" max="6412" width="11.88671875" style="46" customWidth="1"/>
    <col min="6413" max="6413" width="10.44140625" style="46" customWidth="1"/>
    <col min="6414" max="6414" width="16.44140625" style="46" customWidth="1"/>
    <col min="6415" max="6415" width="14.109375" style="46" customWidth="1"/>
    <col min="6416" max="6416" width="15.88671875" style="46" customWidth="1"/>
    <col min="6417" max="6418" width="0" style="46" hidden="1" customWidth="1"/>
    <col min="6419" max="6419" width="11.88671875" style="46" customWidth="1"/>
    <col min="6420" max="6420" width="15.88671875" style="46" customWidth="1"/>
    <col min="6421" max="6421" width="15.44140625" style="46" customWidth="1"/>
    <col min="6422" max="6422" width="12.44140625" style="46" customWidth="1"/>
    <col min="6423" max="6423" width="11.109375" style="46" customWidth="1"/>
    <col min="6424" max="6424" width="15.44140625" style="46" customWidth="1"/>
    <col min="6425" max="6426" width="0" style="46" hidden="1" customWidth="1"/>
    <col min="6427" max="6427" width="15" style="46" customWidth="1"/>
    <col min="6428" max="6428" width="9.44140625" style="46" customWidth="1"/>
    <col min="6429" max="6429" width="10.5546875" style="46" customWidth="1"/>
    <col min="6430" max="6430" width="9.5546875" style="46" customWidth="1"/>
    <col min="6431" max="6431" width="11.44140625" style="46" customWidth="1"/>
    <col min="6432" max="6432" width="9.109375" style="46"/>
    <col min="6433" max="6433" width="12.5546875" style="46" bestFit="1" customWidth="1"/>
    <col min="6434" max="6434" width="20.109375" style="46" bestFit="1" customWidth="1"/>
    <col min="6435" max="6656" width="9.109375" style="46"/>
    <col min="6657" max="6657" width="5.44140625" style="46" customWidth="1"/>
    <col min="6658" max="6658" width="45.109375" style="46" customWidth="1"/>
    <col min="6659" max="6659" width="15.109375" style="46" customWidth="1"/>
    <col min="6660" max="6660" width="16.44140625" style="46" customWidth="1"/>
    <col min="6661" max="6661" width="17.109375" style="46" customWidth="1"/>
    <col min="6662" max="6664" width="0" style="46" hidden="1" customWidth="1"/>
    <col min="6665" max="6666" width="15.88671875" style="46" customWidth="1"/>
    <col min="6667" max="6667" width="11.109375" style="46" customWidth="1"/>
    <col min="6668" max="6668" width="11.88671875" style="46" customWidth="1"/>
    <col min="6669" max="6669" width="10.44140625" style="46" customWidth="1"/>
    <col min="6670" max="6670" width="16.44140625" style="46" customWidth="1"/>
    <col min="6671" max="6671" width="14.109375" style="46" customWidth="1"/>
    <col min="6672" max="6672" width="15.88671875" style="46" customWidth="1"/>
    <col min="6673" max="6674" width="0" style="46" hidden="1" customWidth="1"/>
    <col min="6675" max="6675" width="11.88671875" style="46" customWidth="1"/>
    <col min="6676" max="6676" width="15.88671875" style="46" customWidth="1"/>
    <col min="6677" max="6677" width="15.44140625" style="46" customWidth="1"/>
    <col min="6678" max="6678" width="12.44140625" style="46" customWidth="1"/>
    <col min="6679" max="6679" width="11.109375" style="46" customWidth="1"/>
    <col min="6680" max="6680" width="15.44140625" style="46" customWidth="1"/>
    <col min="6681" max="6682" width="0" style="46" hidden="1" customWidth="1"/>
    <col min="6683" max="6683" width="15" style="46" customWidth="1"/>
    <col min="6684" max="6684" width="9.44140625" style="46" customWidth="1"/>
    <col min="6685" max="6685" width="10.5546875" style="46" customWidth="1"/>
    <col min="6686" max="6686" width="9.5546875" style="46" customWidth="1"/>
    <col min="6687" max="6687" width="11.44140625" style="46" customWidth="1"/>
    <col min="6688" max="6688" width="9.109375" style="46"/>
    <col min="6689" max="6689" width="12.5546875" style="46" bestFit="1" customWidth="1"/>
    <col min="6690" max="6690" width="20.109375" style="46" bestFit="1" customWidth="1"/>
    <col min="6691" max="6912" width="9.109375" style="46"/>
    <col min="6913" max="6913" width="5.44140625" style="46" customWidth="1"/>
    <col min="6914" max="6914" width="45.109375" style="46" customWidth="1"/>
    <col min="6915" max="6915" width="15.109375" style="46" customWidth="1"/>
    <col min="6916" max="6916" width="16.44140625" style="46" customWidth="1"/>
    <col min="6917" max="6917" width="17.109375" style="46" customWidth="1"/>
    <col min="6918" max="6920" width="0" style="46" hidden="1" customWidth="1"/>
    <col min="6921" max="6922" width="15.88671875" style="46" customWidth="1"/>
    <col min="6923" max="6923" width="11.109375" style="46" customWidth="1"/>
    <col min="6924" max="6924" width="11.88671875" style="46" customWidth="1"/>
    <col min="6925" max="6925" width="10.44140625" style="46" customWidth="1"/>
    <col min="6926" max="6926" width="16.44140625" style="46" customWidth="1"/>
    <col min="6927" max="6927" width="14.109375" style="46" customWidth="1"/>
    <col min="6928" max="6928" width="15.88671875" style="46" customWidth="1"/>
    <col min="6929" max="6930" width="0" style="46" hidden="1" customWidth="1"/>
    <col min="6931" max="6931" width="11.88671875" style="46" customWidth="1"/>
    <col min="6932" max="6932" width="15.88671875" style="46" customWidth="1"/>
    <col min="6933" max="6933" width="15.44140625" style="46" customWidth="1"/>
    <col min="6934" max="6934" width="12.44140625" style="46" customWidth="1"/>
    <col min="6935" max="6935" width="11.109375" style="46" customWidth="1"/>
    <col min="6936" max="6936" width="15.44140625" style="46" customWidth="1"/>
    <col min="6937" max="6938" width="0" style="46" hidden="1" customWidth="1"/>
    <col min="6939" max="6939" width="15" style="46" customWidth="1"/>
    <col min="6940" max="6940" width="9.44140625" style="46" customWidth="1"/>
    <col min="6941" max="6941" width="10.5546875" style="46" customWidth="1"/>
    <col min="6942" max="6942" width="9.5546875" style="46" customWidth="1"/>
    <col min="6943" max="6943" width="11.44140625" style="46" customWidth="1"/>
    <col min="6944" max="6944" width="9.109375" style="46"/>
    <col min="6945" max="6945" width="12.5546875" style="46" bestFit="1" customWidth="1"/>
    <col min="6946" max="6946" width="20.109375" style="46" bestFit="1" customWidth="1"/>
    <col min="6947" max="7168" width="9.109375" style="46"/>
    <col min="7169" max="7169" width="5.44140625" style="46" customWidth="1"/>
    <col min="7170" max="7170" width="45.109375" style="46" customWidth="1"/>
    <col min="7171" max="7171" width="15.109375" style="46" customWidth="1"/>
    <col min="7172" max="7172" width="16.44140625" style="46" customWidth="1"/>
    <col min="7173" max="7173" width="17.109375" style="46" customWidth="1"/>
    <col min="7174" max="7176" width="0" style="46" hidden="1" customWidth="1"/>
    <col min="7177" max="7178" width="15.88671875" style="46" customWidth="1"/>
    <col min="7179" max="7179" width="11.109375" style="46" customWidth="1"/>
    <col min="7180" max="7180" width="11.88671875" style="46" customWidth="1"/>
    <col min="7181" max="7181" width="10.44140625" style="46" customWidth="1"/>
    <col min="7182" max="7182" width="16.44140625" style="46" customWidth="1"/>
    <col min="7183" max="7183" width="14.109375" style="46" customWidth="1"/>
    <col min="7184" max="7184" width="15.88671875" style="46" customWidth="1"/>
    <col min="7185" max="7186" width="0" style="46" hidden="1" customWidth="1"/>
    <col min="7187" max="7187" width="11.88671875" style="46" customWidth="1"/>
    <col min="7188" max="7188" width="15.88671875" style="46" customWidth="1"/>
    <col min="7189" max="7189" width="15.44140625" style="46" customWidth="1"/>
    <col min="7190" max="7190" width="12.44140625" style="46" customWidth="1"/>
    <col min="7191" max="7191" width="11.109375" style="46" customWidth="1"/>
    <col min="7192" max="7192" width="15.44140625" style="46" customWidth="1"/>
    <col min="7193" max="7194" width="0" style="46" hidden="1" customWidth="1"/>
    <col min="7195" max="7195" width="15" style="46" customWidth="1"/>
    <col min="7196" max="7196" width="9.44140625" style="46" customWidth="1"/>
    <col min="7197" max="7197" width="10.5546875" style="46" customWidth="1"/>
    <col min="7198" max="7198" width="9.5546875" style="46" customWidth="1"/>
    <col min="7199" max="7199" width="11.44140625" style="46" customWidth="1"/>
    <col min="7200" max="7200" width="9.109375" style="46"/>
    <col min="7201" max="7201" width="12.5546875" style="46" bestFit="1" customWidth="1"/>
    <col min="7202" max="7202" width="20.109375" style="46" bestFit="1" customWidth="1"/>
    <col min="7203" max="7424" width="9.109375" style="46"/>
    <col min="7425" max="7425" width="5.44140625" style="46" customWidth="1"/>
    <col min="7426" max="7426" width="45.109375" style="46" customWidth="1"/>
    <col min="7427" max="7427" width="15.109375" style="46" customWidth="1"/>
    <col min="7428" max="7428" width="16.44140625" style="46" customWidth="1"/>
    <col min="7429" max="7429" width="17.109375" style="46" customWidth="1"/>
    <col min="7430" max="7432" width="0" style="46" hidden="1" customWidth="1"/>
    <col min="7433" max="7434" width="15.88671875" style="46" customWidth="1"/>
    <col min="7435" max="7435" width="11.109375" style="46" customWidth="1"/>
    <col min="7436" max="7436" width="11.88671875" style="46" customWidth="1"/>
    <col min="7437" max="7437" width="10.44140625" style="46" customWidth="1"/>
    <col min="7438" max="7438" width="16.44140625" style="46" customWidth="1"/>
    <col min="7439" max="7439" width="14.109375" style="46" customWidth="1"/>
    <col min="7440" max="7440" width="15.88671875" style="46" customWidth="1"/>
    <col min="7441" max="7442" width="0" style="46" hidden="1" customWidth="1"/>
    <col min="7443" max="7443" width="11.88671875" style="46" customWidth="1"/>
    <col min="7444" max="7444" width="15.88671875" style="46" customWidth="1"/>
    <col min="7445" max="7445" width="15.44140625" style="46" customWidth="1"/>
    <col min="7446" max="7446" width="12.44140625" style="46" customWidth="1"/>
    <col min="7447" max="7447" width="11.109375" style="46" customWidth="1"/>
    <col min="7448" max="7448" width="15.44140625" style="46" customWidth="1"/>
    <col min="7449" max="7450" width="0" style="46" hidden="1" customWidth="1"/>
    <col min="7451" max="7451" width="15" style="46" customWidth="1"/>
    <col min="7452" max="7452" width="9.44140625" style="46" customWidth="1"/>
    <col min="7453" max="7453" width="10.5546875" style="46" customWidth="1"/>
    <col min="7454" max="7454" width="9.5546875" style="46" customWidth="1"/>
    <col min="7455" max="7455" width="11.44140625" style="46" customWidth="1"/>
    <col min="7456" max="7456" width="9.109375" style="46"/>
    <col min="7457" max="7457" width="12.5546875" style="46" bestFit="1" customWidth="1"/>
    <col min="7458" max="7458" width="20.109375" style="46" bestFit="1" customWidth="1"/>
    <col min="7459" max="7680" width="9.109375" style="46"/>
    <col min="7681" max="7681" width="5.44140625" style="46" customWidth="1"/>
    <col min="7682" max="7682" width="45.109375" style="46" customWidth="1"/>
    <col min="7683" max="7683" width="15.109375" style="46" customWidth="1"/>
    <col min="7684" max="7684" width="16.44140625" style="46" customWidth="1"/>
    <col min="7685" max="7685" width="17.109375" style="46" customWidth="1"/>
    <col min="7686" max="7688" width="0" style="46" hidden="1" customWidth="1"/>
    <col min="7689" max="7690" width="15.88671875" style="46" customWidth="1"/>
    <col min="7691" max="7691" width="11.109375" style="46" customWidth="1"/>
    <col min="7692" max="7692" width="11.88671875" style="46" customWidth="1"/>
    <col min="7693" max="7693" width="10.44140625" style="46" customWidth="1"/>
    <col min="7694" max="7694" width="16.44140625" style="46" customWidth="1"/>
    <col min="7695" max="7695" width="14.109375" style="46" customWidth="1"/>
    <col min="7696" max="7696" width="15.88671875" style="46" customWidth="1"/>
    <col min="7697" max="7698" width="0" style="46" hidden="1" customWidth="1"/>
    <col min="7699" max="7699" width="11.88671875" style="46" customWidth="1"/>
    <col min="7700" max="7700" width="15.88671875" style="46" customWidth="1"/>
    <col min="7701" max="7701" width="15.44140625" style="46" customWidth="1"/>
    <col min="7702" max="7702" width="12.44140625" style="46" customWidth="1"/>
    <col min="7703" max="7703" width="11.109375" style="46" customWidth="1"/>
    <col min="7704" max="7704" width="15.44140625" style="46" customWidth="1"/>
    <col min="7705" max="7706" width="0" style="46" hidden="1" customWidth="1"/>
    <col min="7707" max="7707" width="15" style="46" customWidth="1"/>
    <col min="7708" max="7708" width="9.44140625" style="46" customWidth="1"/>
    <col min="7709" max="7709" width="10.5546875" style="46" customWidth="1"/>
    <col min="7710" max="7710" width="9.5546875" style="46" customWidth="1"/>
    <col min="7711" max="7711" width="11.44140625" style="46" customWidth="1"/>
    <col min="7712" max="7712" width="9.109375" style="46"/>
    <col min="7713" max="7713" width="12.5546875" style="46" bestFit="1" customWidth="1"/>
    <col min="7714" max="7714" width="20.109375" style="46" bestFit="1" customWidth="1"/>
    <col min="7715" max="7936" width="9.109375" style="46"/>
    <col min="7937" max="7937" width="5.44140625" style="46" customWidth="1"/>
    <col min="7938" max="7938" width="45.109375" style="46" customWidth="1"/>
    <col min="7939" max="7939" width="15.109375" style="46" customWidth="1"/>
    <col min="7940" max="7940" width="16.44140625" style="46" customWidth="1"/>
    <col min="7941" max="7941" width="17.109375" style="46" customWidth="1"/>
    <col min="7942" max="7944" width="0" style="46" hidden="1" customWidth="1"/>
    <col min="7945" max="7946" width="15.88671875" style="46" customWidth="1"/>
    <col min="7947" max="7947" width="11.109375" style="46" customWidth="1"/>
    <col min="7948" max="7948" width="11.88671875" style="46" customWidth="1"/>
    <col min="7949" max="7949" width="10.44140625" style="46" customWidth="1"/>
    <col min="7950" max="7950" width="16.44140625" style="46" customWidth="1"/>
    <col min="7951" max="7951" width="14.109375" style="46" customWidth="1"/>
    <col min="7952" max="7952" width="15.88671875" style="46" customWidth="1"/>
    <col min="7953" max="7954" width="0" style="46" hidden="1" customWidth="1"/>
    <col min="7955" max="7955" width="11.88671875" style="46" customWidth="1"/>
    <col min="7956" max="7956" width="15.88671875" style="46" customWidth="1"/>
    <col min="7957" max="7957" width="15.44140625" style="46" customWidth="1"/>
    <col min="7958" max="7958" width="12.44140625" style="46" customWidth="1"/>
    <col min="7959" max="7959" width="11.109375" style="46" customWidth="1"/>
    <col min="7960" max="7960" width="15.44140625" style="46" customWidth="1"/>
    <col min="7961" max="7962" width="0" style="46" hidden="1" customWidth="1"/>
    <col min="7963" max="7963" width="15" style="46" customWidth="1"/>
    <col min="7964" max="7964" width="9.44140625" style="46" customWidth="1"/>
    <col min="7965" max="7965" width="10.5546875" style="46" customWidth="1"/>
    <col min="7966" max="7966" width="9.5546875" style="46" customWidth="1"/>
    <col min="7967" max="7967" width="11.44140625" style="46" customWidth="1"/>
    <col min="7968" max="7968" width="9.109375" style="46"/>
    <col min="7969" max="7969" width="12.5546875" style="46" bestFit="1" customWidth="1"/>
    <col min="7970" max="7970" width="20.109375" style="46" bestFit="1" customWidth="1"/>
    <col min="7971" max="8192" width="9.109375" style="46"/>
    <col min="8193" max="8193" width="5.44140625" style="46" customWidth="1"/>
    <col min="8194" max="8194" width="45.109375" style="46" customWidth="1"/>
    <col min="8195" max="8195" width="15.109375" style="46" customWidth="1"/>
    <col min="8196" max="8196" width="16.44140625" style="46" customWidth="1"/>
    <col min="8197" max="8197" width="17.109375" style="46" customWidth="1"/>
    <col min="8198" max="8200" width="0" style="46" hidden="1" customWidth="1"/>
    <col min="8201" max="8202" width="15.88671875" style="46" customWidth="1"/>
    <col min="8203" max="8203" width="11.109375" style="46" customWidth="1"/>
    <col min="8204" max="8204" width="11.88671875" style="46" customWidth="1"/>
    <col min="8205" max="8205" width="10.44140625" style="46" customWidth="1"/>
    <col min="8206" max="8206" width="16.44140625" style="46" customWidth="1"/>
    <col min="8207" max="8207" width="14.109375" style="46" customWidth="1"/>
    <col min="8208" max="8208" width="15.88671875" style="46" customWidth="1"/>
    <col min="8209" max="8210" width="0" style="46" hidden="1" customWidth="1"/>
    <col min="8211" max="8211" width="11.88671875" style="46" customWidth="1"/>
    <col min="8212" max="8212" width="15.88671875" style="46" customWidth="1"/>
    <col min="8213" max="8213" width="15.44140625" style="46" customWidth="1"/>
    <col min="8214" max="8214" width="12.44140625" style="46" customWidth="1"/>
    <col min="8215" max="8215" width="11.109375" style="46" customWidth="1"/>
    <col min="8216" max="8216" width="15.44140625" style="46" customWidth="1"/>
    <col min="8217" max="8218" width="0" style="46" hidden="1" customWidth="1"/>
    <col min="8219" max="8219" width="15" style="46" customWidth="1"/>
    <col min="8220" max="8220" width="9.44140625" style="46" customWidth="1"/>
    <col min="8221" max="8221" width="10.5546875" style="46" customWidth="1"/>
    <col min="8222" max="8222" width="9.5546875" style="46" customWidth="1"/>
    <col min="8223" max="8223" width="11.44140625" style="46" customWidth="1"/>
    <col min="8224" max="8224" width="9.109375" style="46"/>
    <col min="8225" max="8225" width="12.5546875" style="46" bestFit="1" customWidth="1"/>
    <col min="8226" max="8226" width="20.109375" style="46" bestFit="1" customWidth="1"/>
    <col min="8227" max="8448" width="9.109375" style="46"/>
    <col min="8449" max="8449" width="5.44140625" style="46" customWidth="1"/>
    <col min="8450" max="8450" width="45.109375" style="46" customWidth="1"/>
    <col min="8451" max="8451" width="15.109375" style="46" customWidth="1"/>
    <col min="8452" max="8452" width="16.44140625" style="46" customWidth="1"/>
    <col min="8453" max="8453" width="17.109375" style="46" customWidth="1"/>
    <col min="8454" max="8456" width="0" style="46" hidden="1" customWidth="1"/>
    <col min="8457" max="8458" width="15.88671875" style="46" customWidth="1"/>
    <col min="8459" max="8459" width="11.109375" style="46" customWidth="1"/>
    <col min="8460" max="8460" width="11.88671875" style="46" customWidth="1"/>
    <col min="8461" max="8461" width="10.44140625" style="46" customWidth="1"/>
    <col min="8462" max="8462" width="16.44140625" style="46" customWidth="1"/>
    <col min="8463" max="8463" width="14.109375" style="46" customWidth="1"/>
    <col min="8464" max="8464" width="15.88671875" style="46" customWidth="1"/>
    <col min="8465" max="8466" width="0" style="46" hidden="1" customWidth="1"/>
    <col min="8467" max="8467" width="11.88671875" style="46" customWidth="1"/>
    <col min="8468" max="8468" width="15.88671875" style="46" customWidth="1"/>
    <col min="8469" max="8469" width="15.44140625" style="46" customWidth="1"/>
    <col min="8470" max="8470" width="12.44140625" style="46" customWidth="1"/>
    <col min="8471" max="8471" width="11.109375" style="46" customWidth="1"/>
    <col min="8472" max="8472" width="15.44140625" style="46" customWidth="1"/>
    <col min="8473" max="8474" width="0" style="46" hidden="1" customWidth="1"/>
    <col min="8475" max="8475" width="15" style="46" customWidth="1"/>
    <col min="8476" max="8476" width="9.44140625" style="46" customWidth="1"/>
    <col min="8477" max="8477" width="10.5546875" style="46" customWidth="1"/>
    <col min="8478" max="8478" width="9.5546875" style="46" customWidth="1"/>
    <col min="8479" max="8479" width="11.44140625" style="46" customWidth="1"/>
    <col min="8480" max="8480" width="9.109375" style="46"/>
    <col min="8481" max="8481" width="12.5546875" style="46" bestFit="1" customWidth="1"/>
    <col min="8482" max="8482" width="20.109375" style="46" bestFit="1" customWidth="1"/>
    <col min="8483" max="8704" width="9.109375" style="46"/>
    <col min="8705" max="8705" width="5.44140625" style="46" customWidth="1"/>
    <col min="8706" max="8706" width="45.109375" style="46" customWidth="1"/>
    <col min="8707" max="8707" width="15.109375" style="46" customWidth="1"/>
    <col min="8708" max="8708" width="16.44140625" style="46" customWidth="1"/>
    <col min="8709" max="8709" width="17.109375" style="46" customWidth="1"/>
    <col min="8710" max="8712" width="0" style="46" hidden="1" customWidth="1"/>
    <col min="8713" max="8714" width="15.88671875" style="46" customWidth="1"/>
    <col min="8715" max="8715" width="11.109375" style="46" customWidth="1"/>
    <col min="8716" max="8716" width="11.88671875" style="46" customWidth="1"/>
    <col min="8717" max="8717" width="10.44140625" style="46" customWidth="1"/>
    <col min="8718" max="8718" width="16.44140625" style="46" customWidth="1"/>
    <col min="8719" max="8719" width="14.109375" style="46" customWidth="1"/>
    <col min="8720" max="8720" width="15.88671875" style="46" customWidth="1"/>
    <col min="8721" max="8722" width="0" style="46" hidden="1" customWidth="1"/>
    <col min="8723" max="8723" width="11.88671875" style="46" customWidth="1"/>
    <col min="8724" max="8724" width="15.88671875" style="46" customWidth="1"/>
    <col min="8725" max="8725" width="15.44140625" style="46" customWidth="1"/>
    <col min="8726" max="8726" width="12.44140625" style="46" customWidth="1"/>
    <col min="8727" max="8727" width="11.109375" style="46" customWidth="1"/>
    <col min="8728" max="8728" width="15.44140625" style="46" customWidth="1"/>
    <col min="8729" max="8730" width="0" style="46" hidden="1" customWidth="1"/>
    <col min="8731" max="8731" width="15" style="46" customWidth="1"/>
    <col min="8732" max="8732" width="9.44140625" style="46" customWidth="1"/>
    <col min="8733" max="8733" width="10.5546875" style="46" customWidth="1"/>
    <col min="8734" max="8734" width="9.5546875" style="46" customWidth="1"/>
    <col min="8735" max="8735" width="11.44140625" style="46" customWidth="1"/>
    <col min="8736" max="8736" width="9.109375" style="46"/>
    <col min="8737" max="8737" width="12.5546875" style="46" bestFit="1" customWidth="1"/>
    <col min="8738" max="8738" width="20.109375" style="46" bestFit="1" customWidth="1"/>
    <col min="8739" max="8960" width="9.109375" style="46"/>
    <col min="8961" max="8961" width="5.44140625" style="46" customWidth="1"/>
    <col min="8962" max="8962" width="45.109375" style="46" customWidth="1"/>
    <col min="8963" max="8963" width="15.109375" style="46" customWidth="1"/>
    <col min="8964" max="8964" width="16.44140625" style="46" customWidth="1"/>
    <col min="8965" max="8965" width="17.109375" style="46" customWidth="1"/>
    <col min="8966" max="8968" width="0" style="46" hidden="1" customWidth="1"/>
    <col min="8969" max="8970" width="15.88671875" style="46" customWidth="1"/>
    <col min="8971" max="8971" width="11.109375" style="46" customWidth="1"/>
    <col min="8972" max="8972" width="11.88671875" style="46" customWidth="1"/>
    <col min="8973" max="8973" width="10.44140625" style="46" customWidth="1"/>
    <col min="8974" max="8974" width="16.44140625" style="46" customWidth="1"/>
    <col min="8975" max="8975" width="14.109375" style="46" customWidth="1"/>
    <col min="8976" max="8976" width="15.88671875" style="46" customWidth="1"/>
    <col min="8977" max="8978" width="0" style="46" hidden="1" customWidth="1"/>
    <col min="8979" max="8979" width="11.88671875" style="46" customWidth="1"/>
    <col min="8980" max="8980" width="15.88671875" style="46" customWidth="1"/>
    <col min="8981" max="8981" width="15.44140625" style="46" customWidth="1"/>
    <col min="8982" max="8982" width="12.44140625" style="46" customWidth="1"/>
    <col min="8983" max="8983" width="11.109375" style="46" customWidth="1"/>
    <col min="8984" max="8984" width="15.44140625" style="46" customWidth="1"/>
    <col min="8985" max="8986" width="0" style="46" hidden="1" customWidth="1"/>
    <col min="8987" max="8987" width="15" style="46" customWidth="1"/>
    <col min="8988" max="8988" width="9.44140625" style="46" customWidth="1"/>
    <col min="8989" max="8989" width="10.5546875" style="46" customWidth="1"/>
    <col min="8990" max="8990" width="9.5546875" style="46" customWidth="1"/>
    <col min="8991" max="8991" width="11.44140625" style="46" customWidth="1"/>
    <col min="8992" max="8992" width="9.109375" style="46"/>
    <col min="8993" max="8993" width="12.5546875" style="46" bestFit="1" customWidth="1"/>
    <col min="8994" max="8994" width="20.109375" style="46" bestFit="1" customWidth="1"/>
    <col min="8995" max="9216" width="9.109375" style="46"/>
    <col min="9217" max="9217" width="5.44140625" style="46" customWidth="1"/>
    <col min="9218" max="9218" width="45.109375" style="46" customWidth="1"/>
    <col min="9219" max="9219" width="15.109375" style="46" customWidth="1"/>
    <col min="9220" max="9220" width="16.44140625" style="46" customWidth="1"/>
    <col min="9221" max="9221" width="17.109375" style="46" customWidth="1"/>
    <col min="9222" max="9224" width="0" style="46" hidden="1" customWidth="1"/>
    <col min="9225" max="9226" width="15.88671875" style="46" customWidth="1"/>
    <col min="9227" max="9227" width="11.109375" style="46" customWidth="1"/>
    <col min="9228" max="9228" width="11.88671875" style="46" customWidth="1"/>
    <col min="9229" max="9229" width="10.44140625" style="46" customWidth="1"/>
    <col min="9230" max="9230" width="16.44140625" style="46" customWidth="1"/>
    <col min="9231" max="9231" width="14.109375" style="46" customWidth="1"/>
    <col min="9232" max="9232" width="15.88671875" style="46" customWidth="1"/>
    <col min="9233" max="9234" width="0" style="46" hidden="1" customWidth="1"/>
    <col min="9235" max="9235" width="11.88671875" style="46" customWidth="1"/>
    <col min="9236" max="9236" width="15.88671875" style="46" customWidth="1"/>
    <col min="9237" max="9237" width="15.44140625" style="46" customWidth="1"/>
    <col min="9238" max="9238" width="12.44140625" style="46" customWidth="1"/>
    <col min="9239" max="9239" width="11.109375" style="46" customWidth="1"/>
    <col min="9240" max="9240" width="15.44140625" style="46" customWidth="1"/>
    <col min="9241" max="9242" width="0" style="46" hidden="1" customWidth="1"/>
    <col min="9243" max="9243" width="15" style="46" customWidth="1"/>
    <col min="9244" max="9244" width="9.44140625" style="46" customWidth="1"/>
    <col min="9245" max="9245" width="10.5546875" style="46" customWidth="1"/>
    <col min="9246" max="9246" width="9.5546875" style="46" customWidth="1"/>
    <col min="9247" max="9247" width="11.44140625" style="46" customWidth="1"/>
    <col min="9248" max="9248" width="9.109375" style="46"/>
    <col min="9249" max="9249" width="12.5546875" style="46" bestFit="1" customWidth="1"/>
    <col min="9250" max="9250" width="20.109375" style="46" bestFit="1" customWidth="1"/>
    <col min="9251" max="9472" width="9.109375" style="46"/>
    <col min="9473" max="9473" width="5.44140625" style="46" customWidth="1"/>
    <col min="9474" max="9474" width="45.109375" style="46" customWidth="1"/>
    <col min="9475" max="9475" width="15.109375" style="46" customWidth="1"/>
    <col min="9476" max="9476" width="16.44140625" style="46" customWidth="1"/>
    <col min="9477" max="9477" width="17.109375" style="46" customWidth="1"/>
    <col min="9478" max="9480" width="0" style="46" hidden="1" customWidth="1"/>
    <col min="9481" max="9482" width="15.88671875" style="46" customWidth="1"/>
    <col min="9483" max="9483" width="11.109375" style="46" customWidth="1"/>
    <col min="9484" max="9484" width="11.88671875" style="46" customWidth="1"/>
    <col min="9485" max="9485" width="10.44140625" style="46" customWidth="1"/>
    <col min="9486" max="9486" width="16.44140625" style="46" customWidth="1"/>
    <col min="9487" max="9487" width="14.109375" style="46" customWidth="1"/>
    <col min="9488" max="9488" width="15.88671875" style="46" customWidth="1"/>
    <col min="9489" max="9490" width="0" style="46" hidden="1" customWidth="1"/>
    <col min="9491" max="9491" width="11.88671875" style="46" customWidth="1"/>
    <col min="9492" max="9492" width="15.88671875" style="46" customWidth="1"/>
    <col min="9493" max="9493" width="15.44140625" style="46" customWidth="1"/>
    <col min="9494" max="9494" width="12.44140625" style="46" customWidth="1"/>
    <col min="9495" max="9495" width="11.109375" style="46" customWidth="1"/>
    <col min="9496" max="9496" width="15.44140625" style="46" customWidth="1"/>
    <col min="9497" max="9498" width="0" style="46" hidden="1" customWidth="1"/>
    <col min="9499" max="9499" width="15" style="46" customWidth="1"/>
    <col min="9500" max="9500" width="9.44140625" style="46" customWidth="1"/>
    <col min="9501" max="9501" width="10.5546875" style="46" customWidth="1"/>
    <col min="9502" max="9502" width="9.5546875" style="46" customWidth="1"/>
    <col min="9503" max="9503" width="11.44140625" style="46" customWidth="1"/>
    <col min="9504" max="9504" width="9.109375" style="46"/>
    <col min="9505" max="9505" width="12.5546875" style="46" bestFit="1" customWidth="1"/>
    <col min="9506" max="9506" width="20.109375" style="46" bestFit="1" customWidth="1"/>
    <col min="9507" max="9728" width="9.109375" style="46"/>
    <col min="9729" max="9729" width="5.44140625" style="46" customWidth="1"/>
    <col min="9730" max="9730" width="45.109375" style="46" customWidth="1"/>
    <col min="9731" max="9731" width="15.109375" style="46" customWidth="1"/>
    <col min="9732" max="9732" width="16.44140625" style="46" customWidth="1"/>
    <col min="9733" max="9733" width="17.109375" style="46" customWidth="1"/>
    <col min="9734" max="9736" width="0" style="46" hidden="1" customWidth="1"/>
    <col min="9737" max="9738" width="15.88671875" style="46" customWidth="1"/>
    <col min="9739" max="9739" width="11.109375" style="46" customWidth="1"/>
    <col min="9740" max="9740" width="11.88671875" style="46" customWidth="1"/>
    <col min="9741" max="9741" width="10.44140625" style="46" customWidth="1"/>
    <col min="9742" max="9742" width="16.44140625" style="46" customWidth="1"/>
    <col min="9743" max="9743" width="14.109375" style="46" customWidth="1"/>
    <col min="9744" max="9744" width="15.88671875" style="46" customWidth="1"/>
    <col min="9745" max="9746" width="0" style="46" hidden="1" customWidth="1"/>
    <col min="9747" max="9747" width="11.88671875" style="46" customWidth="1"/>
    <col min="9748" max="9748" width="15.88671875" style="46" customWidth="1"/>
    <col min="9749" max="9749" width="15.44140625" style="46" customWidth="1"/>
    <col min="9750" max="9750" width="12.44140625" style="46" customWidth="1"/>
    <col min="9751" max="9751" width="11.109375" style="46" customWidth="1"/>
    <col min="9752" max="9752" width="15.44140625" style="46" customWidth="1"/>
    <col min="9753" max="9754" width="0" style="46" hidden="1" customWidth="1"/>
    <col min="9755" max="9755" width="15" style="46" customWidth="1"/>
    <col min="9756" max="9756" width="9.44140625" style="46" customWidth="1"/>
    <col min="9757" max="9757" width="10.5546875" style="46" customWidth="1"/>
    <col min="9758" max="9758" width="9.5546875" style="46" customWidth="1"/>
    <col min="9759" max="9759" width="11.44140625" style="46" customWidth="1"/>
    <col min="9760" max="9760" width="9.109375" style="46"/>
    <col min="9761" max="9761" width="12.5546875" style="46" bestFit="1" customWidth="1"/>
    <col min="9762" max="9762" width="20.109375" style="46" bestFit="1" customWidth="1"/>
    <col min="9763" max="9984" width="9.109375" style="46"/>
    <col min="9985" max="9985" width="5.44140625" style="46" customWidth="1"/>
    <col min="9986" max="9986" width="45.109375" style="46" customWidth="1"/>
    <col min="9987" max="9987" width="15.109375" style="46" customWidth="1"/>
    <col min="9988" max="9988" width="16.44140625" style="46" customWidth="1"/>
    <col min="9989" max="9989" width="17.109375" style="46" customWidth="1"/>
    <col min="9990" max="9992" width="0" style="46" hidden="1" customWidth="1"/>
    <col min="9993" max="9994" width="15.88671875" style="46" customWidth="1"/>
    <col min="9995" max="9995" width="11.109375" style="46" customWidth="1"/>
    <col min="9996" max="9996" width="11.88671875" style="46" customWidth="1"/>
    <col min="9997" max="9997" width="10.44140625" style="46" customWidth="1"/>
    <col min="9998" max="9998" width="16.44140625" style="46" customWidth="1"/>
    <col min="9999" max="9999" width="14.109375" style="46" customWidth="1"/>
    <col min="10000" max="10000" width="15.88671875" style="46" customWidth="1"/>
    <col min="10001" max="10002" width="0" style="46" hidden="1" customWidth="1"/>
    <col min="10003" max="10003" width="11.88671875" style="46" customWidth="1"/>
    <col min="10004" max="10004" width="15.88671875" style="46" customWidth="1"/>
    <col min="10005" max="10005" width="15.44140625" style="46" customWidth="1"/>
    <col min="10006" max="10006" width="12.44140625" style="46" customWidth="1"/>
    <col min="10007" max="10007" width="11.109375" style="46" customWidth="1"/>
    <col min="10008" max="10008" width="15.44140625" style="46" customWidth="1"/>
    <col min="10009" max="10010" width="0" style="46" hidden="1" customWidth="1"/>
    <col min="10011" max="10011" width="15" style="46" customWidth="1"/>
    <col min="10012" max="10012" width="9.44140625" style="46" customWidth="1"/>
    <col min="10013" max="10013" width="10.5546875" style="46" customWidth="1"/>
    <col min="10014" max="10014" width="9.5546875" style="46" customWidth="1"/>
    <col min="10015" max="10015" width="11.44140625" style="46" customWidth="1"/>
    <col min="10016" max="10016" width="9.109375" style="46"/>
    <col min="10017" max="10017" width="12.5546875" style="46" bestFit="1" customWidth="1"/>
    <col min="10018" max="10018" width="20.109375" style="46" bestFit="1" customWidth="1"/>
    <col min="10019" max="10240" width="9.109375" style="46"/>
    <col min="10241" max="10241" width="5.44140625" style="46" customWidth="1"/>
    <col min="10242" max="10242" width="45.109375" style="46" customWidth="1"/>
    <col min="10243" max="10243" width="15.109375" style="46" customWidth="1"/>
    <col min="10244" max="10244" width="16.44140625" style="46" customWidth="1"/>
    <col min="10245" max="10245" width="17.109375" style="46" customWidth="1"/>
    <col min="10246" max="10248" width="0" style="46" hidden="1" customWidth="1"/>
    <col min="10249" max="10250" width="15.88671875" style="46" customWidth="1"/>
    <col min="10251" max="10251" width="11.109375" style="46" customWidth="1"/>
    <col min="10252" max="10252" width="11.88671875" style="46" customWidth="1"/>
    <col min="10253" max="10253" width="10.44140625" style="46" customWidth="1"/>
    <col min="10254" max="10254" width="16.44140625" style="46" customWidth="1"/>
    <col min="10255" max="10255" width="14.109375" style="46" customWidth="1"/>
    <col min="10256" max="10256" width="15.88671875" style="46" customWidth="1"/>
    <col min="10257" max="10258" width="0" style="46" hidden="1" customWidth="1"/>
    <col min="10259" max="10259" width="11.88671875" style="46" customWidth="1"/>
    <col min="10260" max="10260" width="15.88671875" style="46" customWidth="1"/>
    <col min="10261" max="10261" width="15.44140625" style="46" customWidth="1"/>
    <col min="10262" max="10262" width="12.44140625" style="46" customWidth="1"/>
    <col min="10263" max="10263" width="11.109375" style="46" customWidth="1"/>
    <col min="10264" max="10264" width="15.44140625" style="46" customWidth="1"/>
    <col min="10265" max="10266" width="0" style="46" hidden="1" customWidth="1"/>
    <col min="10267" max="10267" width="15" style="46" customWidth="1"/>
    <col min="10268" max="10268" width="9.44140625" style="46" customWidth="1"/>
    <col min="10269" max="10269" width="10.5546875" style="46" customWidth="1"/>
    <col min="10270" max="10270" width="9.5546875" style="46" customWidth="1"/>
    <col min="10271" max="10271" width="11.44140625" style="46" customWidth="1"/>
    <col min="10272" max="10272" width="9.109375" style="46"/>
    <col min="10273" max="10273" width="12.5546875" style="46" bestFit="1" customWidth="1"/>
    <col min="10274" max="10274" width="20.109375" style="46" bestFit="1" customWidth="1"/>
    <col min="10275" max="10496" width="9.109375" style="46"/>
    <col min="10497" max="10497" width="5.44140625" style="46" customWidth="1"/>
    <col min="10498" max="10498" width="45.109375" style="46" customWidth="1"/>
    <col min="10499" max="10499" width="15.109375" style="46" customWidth="1"/>
    <col min="10500" max="10500" width="16.44140625" style="46" customWidth="1"/>
    <col min="10501" max="10501" width="17.109375" style="46" customWidth="1"/>
    <col min="10502" max="10504" width="0" style="46" hidden="1" customWidth="1"/>
    <col min="10505" max="10506" width="15.88671875" style="46" customWidth="1"/>
    <col min="10507" max="10507" width="11.109375" style="46" customWidth="1"/>
    <col min="10508" max="10508" width="11.88671875" style="46" customWidth="1"/>
    <col min="10509" max="10509" width="10.44140625" style="46" customWidth="1"/>
    <col min="10510" max="10510" width="16.44140625" style="46" customWidth="1"/>
    <col min="10511" max="10511" width="14.109375" style="46" customWidth="1"/>
    <col min="10512" max="10512" width="15.88671875" style="46" customWidth="1"/>
    <col min="10513" max="10514" width="0" style="46" hidden="1" customWidth="1"/>
    <col min="10515" max="10515" width="11.88671875" style="46" customWidth="1"/>
    <col min="10516" max="10516" width="15.88671875" style="46" customWidth="1"/>
    <col min="10517" max="10517" width="15.44140625" style="46" customWidth="1"/>
    <col min="10518" max="10518" width="12.44140625" style="46" customWidth="1"/>
    <col min="10519" max="10519" width="11.109375" style="46" customWidth="1"/>
    <col min="10520" max="10520" width="15.44140625" style="46" customWidth="1"/>
    <col min="10521" max="10522" width="0" style="46" hidden="1" customWidth="1"/>
    <col min="10523" max="10523" width="15" style="46" customWidth="1"/>
    <col min="10524" max="10524" width="9.44140625" style="46" customWidth="1"/>
    <col min="10525" max="10525" width="10.5546875" style="46" customWidth="1"/>
    <col min="10526" max="10526" width="9.5546875" style="46" customWidth="1"/>
    <col min="10527" max="10527" width="11.44140625" style="46" customWidth="1"/>
    <col min="10528" max="10528" width="9.109375" style="46"/>
    <col min="10529" max="10529" width="12.5546875" style="46" bestFit="1" customWidth="1"/>
    <col min="10530" max="10530" width="20.109375" style="46" bestFit="1" customWidth="1"/>
    <col min="10531" max="10752" width="9.109375" style="46"/>
    <col min="10753" max="10753" width="5.44140625" style="46" customWidth="1"/>
    <col min="10754" max="10754" width="45.109375" style="46" customWidth="1"/>
    <col min="10755" max="10755" width="15.109375" style="46" customWidth="1"/>
    <col min="10756" max="10756" width="16.44140625" style="46" customWidth="1"/>
    <col min="10757" max="10757" width="17.109375" style="46" customWidth="1"/>
    <col min="10758" max="10760" width="0" style="46" hidden="1" customWidth="1"/>
    <col min="10761" max="10762" width="15.88671875" style="46" customWidth="1"/>
    <col min="10763" max="10763" width="11.109375" style="46" customWidth="1"/>
    <col min="10764" max="10764" width="11.88671875" style="46" customWidth="1"/>
    <col min="10765" max="10765" width="10.44140625" style="46" customWidth="1"/>
    <col min="10766" max="10766" width="16.44140625" style="46" customWidth="1"/>
    <col min="10767" max="10767" width="14.109375" style="46" customWidth="1"/>
    <col min="10768" max="10768" width="15.88671875" style="46" customWidth="1"/>
    <col min="10769" max="10770" width="0" style="46" hidden="1" customWidth="1"/>
    <col min="10771" max="10771" width="11.88671875" style="46" customWidth="1"/>
    <col min="10772" max="10772" width="15.88671875" style="46" customWidth="1"/>
    <col min="10773" max="10773" width="15.44140625" style="46" customWidth="1"/>
    <col min="10774" max="10774" width="12.44140625" style="46" customWidth="1"/>
    <col min="10775" max="10775" width="11.109375" style="46" customWidth="1"/>
    <col min="10776" max="10776" width="15.44140625" style="46" customWidth="1"/>
    <col min="10777" max="10778" width="0" style="46" hidden="1" customWidth="1"/>
    <col min="10779" max="10779" width="15" style="46" customWidth="1"/>
    <col min="10780" max="10780" width="9.44140625" style="46" customWidth="1"/>
    <col min="10781" max="10781" width="10.5546875" style="46" customWidth="1"/>
    <col min="10782" max="10782" width="9.5546875" style="46" customWidth="1"/>
    <col min="10783" max="10783" width="11.44140625" style="46" customWidth="1"/>
    <col min="10784" max="10784" width="9.109375" style="46"/>
    <col min="10785" max="10785" width="12.5546875" style="46" bestFit="1" customWidth="1"/>
    <col min="10786" max="10786" width="20.109375" style="46" bestFit="1" customWidth="1"/>
    <col min="10787" max="11008" width="9.109375" style="46"/>
    <col min="11009" max="11009" width="5.44140625" style="46" customWidth="1"/>
    <col min="11010" max="11010" width="45.109375" style="46" customWidth="1"/>
    <col min="11011" max="11011" width="15.109375" style="46" customWidth="1"/>
    <col min="11012" max="11012" width="16.44140625" style="46" customWidth="1"/>
    <col min="11013" max="11013" width="17.109375" style="46" customWidth="1"/>
    <col min="11014" max="11016" width="0" style="46" hidden="1" customWidth="1"/>
    <col min="11017" max="11018" width="15.88671875" style="46" customWidth="1"/>
    <col min="11019" max="11019" width="11.109375" style="46" customWidth="1"/>
    <col min="11020" max="11020" width="11.88671875" style="46" customWidth="1"/>
    <col min="11021" max="11021" width="10.44140625" style="46" customWidth="1"/>
    <col min="11022" max="11022" width="16.44140625" style="46" customWidth="1"/>
    <col min="11023" max="11023" width="14.109375" style="46" customWidth="1"/>
    <col min="11024" max="11024" width="15.88671875" style="46" customWidth="1"/>
    <col min="11025" max="11026" width="0" style="46" hidden="1" customWidth="1"/>
    <col min="11027" max="11027" width="11.88671875" style="46" customWidth="1"/>
    <col min="11028" max="11028" width="15.88671875" style="46" customWidth="1"/>
    <col min="11029" max="11029" width="15.44140625" style="46" customWidth="1"/>
    <col min="11030" max="11030" width="12.44140625" style="46" customWidth="1"/>
    <col min="11031" max="11031" width="11.109375" style="46" customWidth="1"/>
    <col min="11032" max="11032" width="15.44140625" style="46" customWidth="1"/>
    <col min="11033" max="11034" width="0" style="46" hidden="1" customWidth="1"/>
    <col min="11035" max="11035" width="15" style="46" customWidth="1"/>
    <col min="11036" max="11036" width="9.44140625" style="46" customWidth="1"/>
    <col min="11037" max="11037" width="10.5546875" style="46" customWidth="1"/>
    <col min="11038" max="11038" width="9.5546875" style="46" customWidth="1"/>
    <col min="11039" max="11039" width="11.44140625" style="46" customWidth="1"/>
    <col min="11040" max="11040" width="9.109375" style="46"/>
    <col min="11041" max="11041" width="12.5546875" style="46" bestFit="1" customWidth="1"/>
    <col min="11042" max="11042" width="20.109375" style="46" bestFit="1" customWidth="1"/>
    <col min="11043" max="11264" width="9.109375" style="46"/>
    <col min="11265" max="11265" width="5.44140625" style="46" customWidth="1"/>
    <col min="11266" max="11266" width="45.109375" style="46" customWidth="1"/>
    <col min="11267" max="11267" width="15.109375" style="46" customWidth="1"/>
    <col min="11268" max="11268" width="16.44140625" style="46" customWidth="1"/>
    <col min="11269" max="11269" width="17.109375" style="46" customWidth="1"/>
    <col min="11270" max="11272" width="0" style="46" hidden="1" customWidth="1"/>
    <col min="11273" max="11274" width="15.88671875" style="46" customWidth="1"/>
    <col min="11275" max="11275" width="11.109375" style="46" customWidth="1"/>
    <col min="11276" max="11276" width="11.88671875" style="46" customWidth="1"/>
    <col min="11277" max="11277" width="10.44140625" style="46" customWidth="1"/>
    <col min="11278" max="11278" width="16.44140625" style="46" customWidth="1"/>
    <col min="11279" max="11279" width="14.109375" style="46" customWidth="1"/>
    <col min="11280" max="11280" width="15.88671875" style="46" customWidth="1"/>
    <col min="11281" max="11282" width="0" style="46" hidden="1" customWidth="1"/>
    <col min="11283" max="11283" width="11.88671875" style="46" customWidth="1"/>
    <col min="11284" max="11284" width="15.88671875" style="46" customWidth="1"/>
    <col min="11285" max="11285" width="15.44140625" style="46" customWidth="1"/>
    <col min="11286" max="11286" width="12.44140625" style="46" customWidth="1"/>
    <col min="11287" max="11287" width="11.109375" style="46" customWidth="1"/>
    <col min="11288" max="11288" width="15.44140625" style="46" customWidth="1"/>
    <col min="11289" max="11290" width="0" style="46" hidden="1" customWidth="1"/>
    <col min="11291" max="11291" width="15" style="46" customWidth="1"/>
    <col min="11292" max="11292" width="9.44140625" style="46" customWidth="1"/>
    <col min="11293" max="11293" width="10.5546875" style="46" customWidth="1"/>
    <col min="11294" max="11294" width="9.5546875" style="46" customWidth="1"/>
    <col min="11295" max="11295" width="11.44140625" style="46" customWidth="1"/>
    <col min="11296" max="11296" width="9.109375" style="46"/>
    <col min="11297" max="11297" width="12.5546875" style="46" bestFit="1" customWidth="1"/>
    <col min="11298" max="11298" width="20.109375" style="46" bestFit="1" customWidth="1"/>
    <col min="11299" max="11520" width="9.109375" style="46"/>
    <col min="11521" max="11521" width="5.44140625" style="46" customWidth="1"/>
    <col min="11522" max="11522" width="45.109375" style="46" customWidth="1"/>
    <col min="11523" max="11523" width="15.109375" style="46" customWidth="1"/>
    <col min="11524" max="11524" width="16.44140625" style="46" customWidth="1"/>
    <col min="11525" max="11525" width="17.109375" style="46" customWidth="1"/>
    <col min="11526" max="11528" width="0" style="46" hidden="1" customWidth="1"/>
    <col min="11529" max="11530" width="15.88671875" style="46" customWidth="1"/>
    <col min="11531" max="11531" width="11.109375" style="46" customWidth="1"/>
    <col min="11532" max="11532" width="11.88671875" style="46" customWidth="1"/>
    <col min="11533" max="11533" width="10.44140625" style="46" customWidth="1"/>
    <col min="11534" max="11534" width="16.44140625" style="46" customWidth="1"/>
    <col min="11535" max="11535" width="14.109375" style="46" customWidth="1"/>
    <col min="11536" max="11536" width="15.88671875" style="46" customWidth="1"/>
    <col min="11537" max="11538" width="0" style="46" hidden="1" customWidth="1"/>
    <col min="11539" max="11539" width="11.88671875" style="46" customWidth="1"/>
    <col min="11540" max="11540" width="15.88671875" style="46" customWidth="1"/>
    <col min="11541" max="11541" width="15.44140625" style="46" customWidth="1"/>
    <col min="11542" max="11542" width="12.44140625" style="46" customWidth="1"/>
    <col min="11543" max="11543" width="11.109375" style="46" customWidth="1"/>
    <col min="11544" max="11544" width="15.44140625" style="46" customWidth="1"/>
    <col min="11545" max="11546" width="0" style="46" hidden="1" customWidth="1"/>
    <col min="11547" max="11547" width="15" style="46" customWidth="1"/>
    <col min="11548" max="11548" width="9.44140625" style="46" customWidth="1"/>
    <col min="11549" max="11549" width="10.5546875" style="46" customWidth="1"/>
    <col min="11550" max="11550" width="9.5546875" style="46" customWidth="1"/>
    <col min="11551" max="11551" width="11.44140625" style="46" customWidth="1"/>
    <col min="11552" max="11552" width="9.109375" style="46"/>
    <col min="11553" max="11553" width="12.5546875" style="46" bestFit="1" customWidth="1"/>
    <col min="11554" max="11554" width="20.109375" style="46" bestFit="1" customWidth="1"/>
    <col min="11555" max="11776" width="9.109375" style="46"/>
    <col min="11777" max="11777" width="5.44140625" style="46" customWidth="1"/>
    <col min="11778" max="11778" width="45.109375" style="46" customWidth="1"/>
    <col min="11779" max="11779" width="15.109375" style="46" customWidth="1"/>
    <col min="11780" max="11780" width="16.44140625" style="46" customWidth="1"/>
    <col min="11781" max="11781" width="17.109375" style="46" customWidth="1"/>
    <col min="11782" max="11784" width="0" style="46" hidden="1" customWidth="1"/>
    <col min="11785" max="11786" width="15.88671875" style="46" customWidth="1"/>
    <col min="11787" max="11787" width="11.109375" style="46" customWidth="1"/>
    <col min="11788" max="11788" width="11.88671875" style="46" customWidth="1"/>
    <col min="11789" max="11789" width="10.44140625" style="46" customWidth="1"/>
    <col min="11790" max="11790" width="16.44140625" style="46" customWidth="1"/>
    <col min="11791" max="11791" width="14.109375" style="46" customWidth="1"/>
    <col min="11792" max="11792" width="15.88671875" style="46" customWidth="1"/>
    <col min="11793" max="11794" width="0" style="46" hidden="1" customWidth="1"/>
    <col min="11795" max="11795" width="11.88671875" style="46" customWidth="1"/>
    <col min="11796" max="11796" width="15.88671875" style="46" customWidth="1"/>
    <col min="11797" max="11797" width="15.44140625" style="46" customWidth="1"/>
    <col min="11798" max="11798" width="12.44140625" style="46" customWidth="1"/>
    <col min="11799" max="11799" width="11.109375" style="46" customWidth="1"/>
    <col min="11800" max="11800" width="15.44140625" style="46" customWidth="1"/>
    <col min="11801" max="11802" width="0" style="46" hidden="1" customWidth="1"/>
    <col min="11803" max="11803" width="15" style="46" customWidth="1"/>
    <col min="11804" max="11804" width="9.44140625" style="46" customWidth="1"/>
    <col min="11805" max="11805" width="10.5546875" style="46" customWidth="1"/>
    <col min="11806" max="11806" width="9.5546875" style="46" customWidth="1"/>
    <col min="11807" max="11807" width="11.44140625" style="46" customWidth="1"/>
    <col min="11808" max="11808" width="9.109375" style="46"/>
    <col min="11809" max="11809" width="12.5546875" style="46" bestFit="1" customWidth="1"/>
    <col min="11810" max="11810" width="20.109375" style="46" bestFit="1" customWidth="1"/>
    <col min="11811" max="12032" width="9.109375" style="46"/>
    <col min="12033" max="12033" width="5.44140625" style="46" customWidth="1"/>
    <col min="12034" max="12034" width="45.109375" style="46" customWidth="1"/>
    <col min="12035" max="12035" width="15.109375" style="46" customWidth="1"/>
    <col min="12036" max="12036" width="16.44140625" style="46" customWidth="1"/>
    <col min="12037" max="12037" width="17.109375" style="46" customWidth="1"/>
    <col min="12038" max="12040" width="0" style="46" hidden="1" customWidth="1"/>
    <col min="12041" max="12042" width="15.88671875" style="46" customWidth="1"/>
    <col min="12043" max="12043" width="11.109375" style="46" customWidth="1"/>
    <col min="12044" max="12044" width="11.88671875" style="46" customWidth="1"/>
    <col min="12045" max="12045" width="10.44140625" style="46" customWidth="1"/>
    <col min="12046" max="12046" width="16.44140625" style="46" customWidth="1"/>
    <col min="12047" max="12047" width="14.109375" style="46" customWidth="1"/>
    <col min="12048" max="12048" width="15.88671875" style="46" customWidth="1"/>
    <col min="12049" max="12050" width="0" style="46" hidden="1" customWidth="1"/>
    <col min="12051" max="12051" width="11.88671875" style="46" customWidth="1"/>
    <col min="12052" max="12052" width="15.88671875" style="46" customWidth="1"/>
    <col min="12053" max="12053" width="15.44140625" style="46" customWidth="1"/>
    <col min="12054" max="12054" width="12.44140625" style="46" customWidth="1"/>
    <col min="12055" max="12055" width="11.109375" style="46" customWidth="1"/>
    <col min="12056" max="12056" width="15.44140625" style="46" customWidth="1"/>
    <col min="12057" max="12058" width="0" style="46" hidden="1" customWidth="1"/>
    <col min="12059" max="12059" width="15" style="46" customWidth="1"/>
    <col min="12060" max="12060" width="9.44140625" style="46" customWidth="1"/>
    <col min="12061" max="12061" width="10.5546875" style="46" customWidth="1"/>
    <col min="12062" max="12062" width="9.5546875" style="46" customWidth="1"/>
    <col min="12063" max="12063" width="11.44140625" style="46" customWidth="1"/>
    <col min="12064" max="12064" width="9.109375" style="46"/>
    <col min="12065" max="12065" width="12.5546875" style="46" bestFit="1" customWidth="1"/>
    <col min="12066" max="12066" width="20.109375" style="46" bestFit="1" customWidth="1"/>
    <col min="12067" max="12288" width="9.109375" style="46"/>
    <col min="12289" max="12289" width="5.44140625" style="46" customWidth="1"/>
    <col min="12290" max="12290" width="45.109375" style="46" customWidth="1"/>
    <col min="12291" max="12291" width="15.109375" style="46" customWidth="1"/>
    <col min="12292" max="12292" width="16.44140625" style="46" customWidth="1"/>
    <col min="12293" max="12293" width="17.109375" style="46" customWidth="1"/>
    <col min="12294" max="12296" width="0" style="46" hidden="1" customWidth="1"/>
    <col min="12297" max="12298" width="15.88671875" style="46" customWidth="1"/>
    <col min="12299" max="12299" width="11.109375" style="46" customWidth="1"/>
    <col min="12300" max="12300" width="11.88671875" style="46" customWidth="1"/>
    <col min="12301" max="12301" width="10.44140625" style="46" customWidth="1"/>
    <col min="12302" max="12302" width="16.44140625" style="46" customWidth="1"/>
    <col min="12303" max="12303" width="14.109375" style="46" customWidth="1"/>
    <col min="12304" max="12304" width="15.88671875" style="46" customWidth="1"/>
    <col min="12305" max="12306" width="0" style="46" hidden="1" customWidth="1"/>
    <col min="12307" max="12307" width="11.88671875" style="46" customWidth="1"/>
    <col min="12308" max="12308" width="15.88671875" style="46" customWidth="1"/>
    <col min="12309" max="12309" width="15.44140625" style="46" customWidth="1"/>
    <col min="12310" max="12310" width="12.44140625" style="46" customWidth="1"/>
    <col min="12311" max="12311" width="11.109375" style="46" customWidth="1"/>
    <col min="12312" max="12312" width="15.44140625" style="46" customWidth="1"/>
    <col min="12313" max="12314" width="0" style="46" hidden="1" customWidth="1"/>
    <col min="12315" max="12315" width="15" style="46" customWidth="1"/>
    <col min="12316" max="12316" width="9.44140625" style="46" customWidth="1"/>
    <col min="12317" max="12317" width="10.5546875" style="46" customWidth="1"/>
    <col min="12318" max="12318" width="9.5546875" style="46" customWidth="1"/>
    <col min="12319" max="12319" width="11.44140625" style="46" customWidth="1"/>
    <col min="12320" max="12320" width="9.109375" style="46"/>
    <col min="12321" max="12321" width="12.5546875" style="46" bestFit="1" customWidth="1"/>
    <col min="12322" max="12322" width="20.109375" style="46" bestFit="1" customWidth="1"/>
    <col min="12323" max="12544" width="9.109375" style="46"/>
    <col min="12545" max="12545" width="5.44140625" style="46" customWidth="1"/>
    <col min="12546" max="12546" width="45.109375" style="46" customWidth="1"/>
    <col min="12547" max="12547" width="15.109375" style="46" customWidth="1"/>
    <col min="12548" max="12548" width="16.44140625" style="46" customWidth="1"/>
    <col min="12549" max="12549" width="17.109375" style="46" customWidth="1"/>
    <col min="12550" max="12552" width="0" style="46" hidden="1" customWidth="1"/>
    <col min="12553" max="12554" width="15.88671875" style="46" customWidth="1"/>
    <col min="12555" max="12555" width="11.109375" style="46" customWidth="1"/>
    <col min="12556" max="12556" width="11.88671875" style="46" customWidth="1"/>
    <col min="12557" max="12557" width="10.44140625" style="46" customWidth="1"/>
    <col min="12558" max="12558" width="16.44140625" style="46" customWidth="1"/>
    <col min="12559" max="12559" width="14.109375" style="46" customWidth="1"/>
    <col min="12560" max="12560" width="15.88671875" style="46" customWidth="1"/>
    <col min="12561" max="12562" width="0" style="46" hidden="1" customWidth="1"/>
    <col min="12563" max="12563" width="11.88671875" style="46" customWidth="1"/>
    <col min="12564" max="12564" width="15.88671875" style="46" customWidth="1"/>
    <col min="12565" max="12565" width="15.44140625" style="46" customWidth="1"/>
    <col min="12566" max="12566" width="12.44140625" style="46" customWidth="1"/>
    <col min="12567" max="12567" width="11.109375" style="46" customWidth="1"/>
    <col min="12568" max="12568" width="15.44140625" style="46" customWidth="1"/>
    <col min="12569" max="12570" width="0" style="46" hidden="1" customWidth="1"/>
    <col min="12571" max="12571" width="15" style="46" customWidth="1"/>
    <col min="12572" max="12572" width="9.44140625" style="46" customWidth="1"/>
    <col min="12573" max="12573" width="10.5546875" style="46" customWidth="1"/>
    <col min="12574" max="12574" width="9.5546875" style="46" customWidth="1"/>
    <col min="12575" max="12575" width="11.44140625" style="46" customWidth="1"/>
    <col min="12576" max="12576" width="9.109375" style="46"/>
    <col min="12577" max="12577" width="12.5546875" style="46" bestFit="1" customWidth="1"/>
    <col min="12578" max="12578" width="20.109375" style="46" bestFit="1" customWidth="1"/>
    <col min="12579" max="12800" width="9.109375" style="46"/>
    <col min="12801" max="12801" width="5.44140625" style="46" customWidth="1"/>
    <col min="12802" max="12802" width="45.109375" style="46" customWidth="1"/>
    <col min="12803" max="12803" width="15.109375" style="46" customWidth="1"/>
    <col min="12804" max="12804" width="16.44140625" style="46" customWidth="1"/>
    <col min="12805" max="12805" width="17.109375" style="46" customWidth="1"/>
    <col min="12806" max="12808" width="0" style="46" hidden="1" customWidth="1"/>
    <col min="12809" max="12810" width="15.88671875" style="46" customWidth="1"/>
    <col min="12811" max="12811" width="11.109375" style="46" customWidth="1"/>
    <col min="12812" max="12812" width="11.88671875" style="46" customWidth="1"/>
    <col min="12813" max="12813" width="10.44140625" style="46" customWidth="1"/>
    <col min="12814" max="12814" width="16.44140625" style="46" customWidth="1"/>
    <col min="12815" max="12815" width="14.109375" style="46" customWidth="1"/>
    <col min="12816" max="12816" width="15.88671875" style="46" customWidth="1"/>
    <col min="12817" max="12818" width="0" style="46" hidden="1" customWidth="1"/>
    <col min="12819" max="12819" width="11.88671875" style="46" customWidth="1"/>
    <col min="12820" max="12820" width="15.88671875" style="46" customWidth="1"/>
    <col min="12821" max="12821" width="15.44140625" style="46" customWidth="1"/>
    <col min="12822" max="12822" width="12.44140625" style="46" customWidth="1"/>
    <col min="12823" max="12823" width="11.109375" style="46" customWidth="1"/>
    <col min="12824" max="12824" width="15.44140625" style="46" customWidth="1"/>
    <col min="12825" max="12826" width="0" style="46" hidden="1" customWidth="1"/>
    <col min="12827" max="12827" width="15" style="46" customWidth="1"/>
    <col min="12828" max="12828" width="9.44140625" style="46" customWidth="1"/>
    <col min="12829" max="12829" width="10.5546875" style="46" customWidth="1"/>
    <col min="12830" max="12830" width="9.5546875" style="46" customWidth="1"/>
    <col min="12831" max="12831" width="11.44140625" style="46" customWidth="1"/>
    <col min="12832" max="12832" width="9.109375" style="46"/>
    <col min="12833" max="12833" width="12.5546875" style="46" bestFit="1" customWidth="1"/>
    <col min="12834" max="12834" width="20.109375" style="46" bestFit="1" customWidth="1"/>
    <col min="12835" max="13056" width="9.109375" style="46"/>
    <col min="13057" max="13057" width="5.44140625" style="46" customWidth="1"/>
    <col min="13058" max="13058" width="45.109375" style="46" customWidth="1"/>
    <col min="13059" max="13059" width="15.109375" style="46" customWidth="1"/>
    <col min="13060" max="13060" width="16.44140625" style="46" customWidth="1"/>
    <col min="13061" max="13061" width="17.109375" style="46" customWidth="1"/>
    <col min="13062" max="13064" width="0" style="46" hidden="1" customWidth="1"/>
    <col min="13065" max="13066" width="15.88671875" style="46" customWidth="1"/>
    <col min="13067" max="13067" width="11.109375" style="46" customWidth="1"/>
    <col min="13068" max="13068" width="11.88671875" style="46" customWidth="1"/>
    <col min="13069" max="13069" width="10.44140625" style="46" customWidth="1"/>
    <col min="13070" max="13070" width="16.44140625" style="46" customWidth="1"/>
    <col min="13071" max="13071" width="14.109375" style="46" customWidth="1"/>
    <col min="13072" max="13072" width="15.88671875" style="46" customWidth="1"/>
    <col min="13073" max="13074" width="0" style="46" hidden="1" customWidth="1"/>
    <col min="13075" max="13075" width="11.88671875" style="46" customWidth="1"/>
    <col min="13076" max="13076" width="15.88671875" style="46" customWidth="1"/>
    <col min="13077" max="13077" width="15.44140625" style="46" customWidth="1"/>
    <col min="13078" max="13078" width="12.44140625" style="46" customWidth="1"/>
    <col min="13079" max="13079" width="11.109375" style="46" customWidth="1"/>
    <col min="13080" max="13080" width="15.44140625" style="46" customWidth="1"/>
    <col min="13081" max="13082" width="0" style="46" hidden="1" customWidth="1"/>
    <col min="13083" max="13083" width="15" style="46" customWidth="1"/>
    <col min="13084" max="13084" width="9.44140625" style="46" customWidth="1"/>
    <col min="13085" max="13085" width="10.5546875" style="46" customWidth="1"/>
    <col min="13086" max="13086" width="9.5546875" style="46" customWidth="1"/>
    <col min="13087" max="13087" width="11.44140625" style="46" customWidth="1"/>
    <col min="13088" max="13088" width="9.109375" style="46"/>
    <col min="13089" max="13089" width="12.5546875" style="46" bestFit="1" customWidth="1"/>
    <col min="13090" max="13090" width="20.109375" style="46" bestFit="1" customWidth="1"/>
    <col min="13091" max="13312" width="9.109375" style="46"/>
    <col min="13313" max="13313" width="5.44140625" style="46" customWidth="1"/>
    <col min="13314" max="13314" width="45.109375" style="46" customWidth="1"/>
    <col min="13315" max="13315" width="15.109375" style="46" customWidth="1"/>
    <col min="13316" max="13316" width="16.44140625" style="46" customWidth="1"/>
    <col min="13317" max="13317" width="17.109375" style="46" customWidth="1"/>
    <col min="13318" max="13320" width="0" style="46" hidden="1" customWidth="1"/>
    <col min="13321" max="13322" width="15.88671875" style="46" customWidth="1"/>
    <col min="13323" max="13323" width="11.109375" style="46" customWidth="1"/>
    <col min="13324" max="13324" width="11.88671875" style="46" customWidth="1"/>
    <col min="13325" max="13325" width="10.44140625" style="46" customWidth="1"/>
    <col min="13326" max="13326" width="16.44140625" style="46" customWidth="1"/>
    <col min="13327" max="13327" width="14.109375" style="46" customWidth="1"/>
    <col min="13328" max="13328" width="15.88671875" style="46" customWidth="1"/>
    <col min="13329" max="13330" width="0" style="46" hidden="1" customWidth="1"/>
    <col min="13331" max="13331" width="11.88671875" style="46" customWidth="1"/>
    <col min="13332" max="13332" width="15.88671875" style="46" customWidth="1"/>
    <col min="13333" max="13333" width="15.44140625" style="46" customWidth="1"/>
    <col min="13334" max="13334" width="12.44140625" style="46" customWidth="1"/>
    <col min="13335" max="13335" width="11.109375" style="46" customWidth="1"/>
    <col min="13336" max="13336" width="15.44140625" style="46" customWidth="1"/>
    <col min="13337" max="13338" width="0" style="46" hidden="1" customWidth="1"/>
    <col min="13339" max="13339" width="15" style="46" customWidth="1"/>
    <col min="13340" max="13340" width="9.44140625" style="46" customWidth="1"/>
    <col min="13341" max="13341" width="10.5546875" style="46" customWidth="1"/>
    <col min="13342" max="13342" width="9.5546875" style="46" customWidth="1"/>
    <col min="13343" max="13343" width="11.44140625" style="46" customWidth="1"/>
    <col min="13344" max="13344" width="9.109375" style="46"/>
    <col min="13345" max="13345" width="12.5546875" style="46" bestFit="1" customWidth="1"/>
    <col min="13346" max="13346" width="20.109375" style="46" bestFit="1" customWidth="1"/>
    <col min="13347" max="13568" width="9.109375" style="46"/>
    <col min="13569" max="13569" width="5.44140625" style="46" customWidth="1"/>
    <col min="13570" max="13570" width="45.109375" style="46" customWidth="1"/>
    <col min="13571" max="13571" width="15.109375" style="46" customWidth="1"/>
    <col min="13572" max="13572" width="16.44140625" style="46" customWidth="1"/>
    <col min="13573" max="13573" width="17.109375" style="46" customWidth="1"/>
    <col min="13574" max="13576" width="0" style="46" hidden="1" customWidth="1"/>
    <col min="13577" max="13578" width="15.88671875" style="46" customWidth="1"/>
    <col min="13579" max="13579" width="11.109375" style="46" customWidth="1"/>
    <col min="13580" max="13580" width="11.88671875" style="46" customWidth="1"/>
    <col min="13581" max="13581" width="10.44140625" style="46" customWidth="1"/>
    <col min="13582" max="13582" width="16.44140625" style="46" customWidth="1"/>
    <col min="13583" max="13583" width="14.109375" style="46" customWidth="1"/>
    <col min="13584" max="13584" width="15.88671875" style="46" customWidth="1"/>
    <col min="13585" max="13586" width="0" style="46" hidden="1" customWidth="1"/>
    <col min="13587" max="13587" width="11.88671875" style="46" customWidth="1"/>
    <col min="13588" max="13588" width="15.88671875" style="46" customWidth="1"/>
    <col min="13589" max="13589" width="15.44140625" style="46" customWidth="1"/>
    <col min="13590" max="13590" width="12.44140625" style="46" customWidth="1"/>
    <col min="13591" max="13591" width="11.109375" style="46" customWidth="1"/>
    <col min="13592" max="13592" width="15.44140625" style="46" customWidth="1"/>
    <col min="13593" max="13594" width="0" style="46" hidden="1" customWidth="1"/>
    <col min="13595" max="13595" width="15" style="46" customWidth="1"/>
    <col min="13596" max="13596" width="9.44140625" style="46" customWidth="1"/>
    <col min="13597" max="13597" width="10.5546875" style="46" customWidth="1"/>
    <col min="13598" max="13598" width="9.5546875" style="46" customWidth="1"/>
    <col min="13599" max="13599" width="11.44140625" style="46" customWidth="1"/>
    <col min="13600" max="13600" width="9.109375" style="46"/>
    <col min="13601" max="13601" width="12.5546875" style="46" bestFit="1" customWidth="1"/>
    <col min="13602" max="13602" width="20.109375" style="46" bestFit="1" customWidth="1"/>
    <col min="13603" max="13824" width="9.109375" style="46"/>
    <col min="13825" max="13825" width="5.44140625" style="46" customWidth="1"/>
    <col min="13826" max="13826" width="45.109375" style="46" customWidth="1"/>
    <col min="13827" max="13827" width="15.109375" style="46" customWidth="1"/>
    <col min="13828" max="13828" width="16.44140625" style="46" customWidth="1"/>
    <col min="13829" max="13829" width="17.109375" style="46" customWidth="1"/>
    <col min="13830" max="13832" width="0" style="46" hidden="1" customWidth="1"/>
    <col min="13833" max="13834" width="15.88671875" style="46" customWidth="1"/>
    <col min="13835" max="13835" width="11.109375" style="46" customWidth="1"/>
    <col min="13836" max="13836" width="11.88671875" style="46" customWidth="1"/>
    <col min="13837" max="13837" width="10.44140625" style="46" customWidth="1"/>
    <col min="13838" max="13838" width="16.44140625" style="46" customWidth="1"/>
    <col min="13839" max="13839" width="14.109375" style="46" customWidth="1"/>
    <col min="13840" max="13840" width="15.88671875" style="46" customWidth="1"/>
    <col min="13841" max="13842" width="0" style="46" hidden="1" customWidth="1"/>
    <col min="13843" max="13843" width="11.88671875" style="46" customWidth="1"/>
    <col min="13844" max="13844" width="15.88671875" style="46" customWidth="1"/>
    <col min="13845" max="13845" width="15.44140625" style="46" customWidth="1"/>
    <col min="13846" max="13846" width="12.44140625" style="46" customWidth="1"/>
    <col min="13847" max="13847" width="11.109375" style="46" customWidth="1"/>
    <col min="13848" max="13848" width="15.44140625" style="46" customWidth="1"/>
    <col min="13849" max="13850" width="0" style="46" hidden="1" customWidth="1"/>
    <col min="13851" max="13851" width="15" style="46" customWidth="1"/>
    <col min="13852" max="13852" width="9.44140625" style="46" customWidth="1"/>
    <col min="13853" max="13853" width="10.5546875" style="46" customWidth="1"/>
    <col min="13854" max="13854" width="9.5546875" style="46" customWidth="1"/>
    <col min="13855" max="13855" width="11.44140625" style="46" customWidth="1"/>
    <col min="13856" max="13856" width="9.109375" style="46"/>
    <col min="13857" max="13857" width="12.5546875" style="46" bestFit="1" customWidth="1"/>
    <col min="13858" max="13858" width="20.109375" style="46" bestFit="1" customWidth="1"/>
    <col min="13859" max="14080" width="9.109375" style="46"/>
    <col min="14081" max="14081" width="5.44140625" style="46" customWidth="1"/>
    <col min="14082" max="14082" width="45.109375" style="46" customWidth="1"/>
    <col min="14083" max="14083" width="15.109375" style="46" customWidth="1"/>
    <col min="14084" max="14084" width="16.44140625" style="46" customWidth="1"/>
    <col min="14085" max="14085" width="17.109375" style="46" customWidth="1"/>
    <col min="14086" max="14088" width="0" style="46" hidden="1" customWidth="1"/>
    <col min="14089" max="14090" width="15.88671875" style="46" customWidth="1"/>
    <col min="14091" max="14091" width="11.109375" style="46" customWidth="1"/>
    <col min="14092" max="14092" width="11.88671875" style="46" customWidth="1"/>
    <col min="14093" max="14093" width="10.44140625" style="46" customWidth="1"/>
    <col min="14094" max="14094" width="16.44140625" style="46" customWidth="1"/>
    <col min="14095" max="14095" width="14.109375" style="46" customWidth="1"/>
    <col min="14096" max="14096" width="15.88671875" style="46" customWidth="1"/>
    <col min="14097" max="14098" width="0" style="46" hidden="1" customWidth="1"/>
    <col min="14099" max="14099" width="11.88671875" style="46" customWidth="1"/>
    <col min="14100" max="14100" width="15.88671875" style="46" customWidth="1"/>
    <col min="14101" max="14101" width="15.44140625" style="46" customWidth="1"/>
    <col min="14102" max="14102" width="12.44140625" style="46" customWidth="1"/>
    <col min="14103" max="14103" width="11.109375" style="46" customWidth="1"/>
    <col min="14104" max="14104" width="15.44140625" style="46" customWidth="1"/>
    <col min="14105" max="14106" width="0" style="46" hidden="1" customWidth="1"/>
    <col min="14107" max="14107" width="15" style="46" customWidth="1"/>
    <col min="14108" max="14108" width="9.44140625" style="46" customWidth="1"/>
    <col min="14109" max="14109" width="10.5546875" style="46" customWidth="1"/>
    <col min="14110" max="14110" width="9.5546875" style="46" customWidth="1"/>
    <col min="14111" max="14111" width="11.44140625" style="46" customWidth="1"/>
    <col min="14112" max="14112" width="9.109375" style="46"/>
    <col min="14113" max="14113" width="12.5546875" style="46" bestFit="1" customWidth="1"/>
    <col min="14114" max="14114" width="20.109375" style="46" bestFit="1" customWidth="1"/>
    <col min="14115" max="14336" width="9.109375" style="46"/>
    <col min="14337" max="14337" width="5.44140625" style="46" customWidth="1"/>
    <col min="14338" max="14338" width="45.109375" style="46" customWidth="1"/>
    <col min="14339" max="14339" width="15.109375" style="46" customWidth="1"/>
    <col min="14340" max="14340" width="16.44140625" style="46" customWidth="1"/>
    <col min="14341" max="14341" width="17.109375" style="46" customWidth="1"/>
    <col min="14342" max="14344" width="0" style="46" hidden="1" customWidth="1"/>
    <col min="14345" max="14346" width="15.88671875" style="46" customWidth="1"/>
    <col min="14347" max="14347" width="11.109375" style="46" customWidth="1"/>
    <col min="14348" max="14348" width="11.88671875" style="46" customWidth="1"/>
    <col min="14349" max="14349" width="10.44140625" style="46" customWidth="1"/>
    <col min="14350" max="14350" width="16.44140625" style="46" customWidth="1"/>
    <col min="14351" max="14351" width="14.109375" style="46" customWidth="1"/>
    <col min="14352" max="14352" width="15.88671875" style="46" customWidth="1"/>
    <col min="14353" max="14354" width="0" style="46" hidden="1" customWidth="1"/>
    <col min="14355" max="14355" width="11.88671875" style="46" customWidth="1"/>
    <col min="14356" max="14356" width="15.88671875" style="46" customWidth="1"/>
    <col min="14357" max="14357" width="15.44140625" style="46" customWidth="1"/>
    <col min="14358" max="14358" width="12.44140625" style="46" customWidth="1"/>
    <col min="14359" max="14359" width="11.109375" style="46" customWidth="1"/>
    <col min="14360" max="14360" width="15.44140625" style="46" customWidth="1"/>
    <col min="14361" max="14362" width="0" style="46" hidden="1" customWidth="1"/>
    <col min="14363" max="14363" width="15" style="46" customWidth="1"/>
    <col min="14364" max="14364" width="9.44140625" style="46" customWidth="1"/>
    <col min="14365" max="14365" width="10.5546875" style="46" customWidth="1"/>
    <col min="14366" max="14366" width="9.5546875" style="46" customWidth="1"/>
    <col min="14367" max="14367" width="11.44140625" style="46" customWidth="1"/>
    <col min="14368" max="14368" width="9.109375" style="46"/>
    <col min="14369" max="14369" width="12.5546875" style="46" bestFit="1" customWidth="1"/>
    <col min="14370" max="14370" width="20.109375" style="46" bestFit="1" customWidth="1"/>
    <col min="14371" max="14592" width="9.109375" style="46"/>
    <col min="14593" max="14593" width="5.44140625" style="46" customWidth="1"/>
    <col min="14594" max="14594" width="45.109375" style="46" customWidth="1"/>
    <col min="14595" max="14595" width="15.109375" style="46" customWidth="1"/>
    <col min="14596" max="14596" width="16.44140625" style="46" customWidth="1"/>
    <col min="14597" max="14597" width="17.109375" style="46" customWidth="1"/>
    <col min="14598" max="14600" width="0" style="46" hidden="1" customWidth="1"/>
    <col min="14601" max="14602" width="15.88671875" style="46" customWidth="1"/>
    <col min="14603" max="14603" width="11.109375" style="46" customWidth="1"/>
    <col min="14604" max="14604" width="11.88671875" style="46" customWidth="1"/>
    <col min="14605" max="14605" width="10.44140625" style="46" customWidth="1"/>
    <col min="14606" max="14606" width="16.44140625" style="46" customWidth="1"/>
    <col min="14607" max="14607" width="14.109375" style="46" customWidth="1"/>
    <col min="14608" max="14608" width="15.88671875" style="46" customWidth="1"/>
    <col min="14609" max="14610" width="0" style="46" hidden="1" customWidth="1"/>
    <col min="14611" max="14611" width="11.88671875" style="46" customWidth="1"/>
    <col min="14612" max="14612" width="15.88671875" style="46" customWidth="1"/>
    <col min="14613" max="14613" width="15.44140625" style="46" customWidth="1"/>
    <col min="14614" max="14614" width="12.44140625" style="46" customWidth="1"/>
    <col min="14615" max="14615" width="11.109375" style="46" customWidth="1"/>
    <col min="14616" max="14616" width="15.44140625" style="46" customWidth="1"/>
    <col min="14617" max="14618" width="0" style="46" hidden="1" customWidth="1"/>
    <col min="14619" max="14619" width="15" style="46" customWidth="1"/>
    <col min="14620" max="14620" width="9.44140625" style="46" customWidth="1"/>
    <col min="14621" max="14621" width="10.5546875" style="46" customWidth="1"/>
    <col min="14622" max="14622" width="9.5546875" style="46" customWidth="1"/>
    <col min="14623" max="14623" width="11.44140625" style="46" customWidth="1"/>
    <col min="14624" max="14624" width="9.109375" style="46"/>
    <col min="14625" max="14625" width="12.5546875" style="46" bestFit="1" customWidth="1"/>
    <col min="14626" max="14626" width="20.109375" style="46" bestFit="1" customWidth="1"/>
    <col min="14627" max="14848" width="9.109375" style="46"/>
    <col min="14849" max="14849" width="5.44140625" style="46" customWidth="1"/>
    <col min="14850" max="14850" width="45.109375" style="46" customWidth="1"/>
    <col min="14851" max="14851" width="15.109375" style="46" customWidth="1"/>
    <col min="14852" max="14852" width="16.44140625" style="46" customWidth="1"/>
    <col min="14853" max="14853" width="17.109375" style="46" customWidth="1"/>
    <col min="14854" max="14856" width="0" style="46" hidden="1" customWidth="1"/>
    <col min="14857" max="14858" width="15.88671875" style="46" customWidth="1"/>
    <col min="14859" max="14859" width="11.109375" style="46" customWidth="1"/>
    <col min="14860" max="14860" width="11.88671875" style="46" customWidth="1"/>
    <col min="14861" max="14861" width="10.44140625" style="46" customWidth="1"/>
    <col min="14862" max="14862" width="16.44140625" style="46" customWidth="1"/>
    <col min="14863" max="14863" width="14.109375" style="46" customWidth="1"/>
    <col min="14864" max="14864" width="15.88671875" style="46" customWidth="1"/>
    <col min="14865" max="14866" width="0" style="46" hidden="1" customWidth="1"/>
    <col min="14867" max="14867" width="11.88671875" style="46" customWidth="1"/>
    <col min="14868" max="14868" width="15.88671875" style="46" customWidth="1"/>
    <col min="14869" max="14869" width="15.44140625" style="46" customWidth="1"/>
    <col min="14870" max="14870" width="12.44140625" style="46" customWidth="1"/>
    <col min="14871" max="14871" width="11.109375" style="46" customWidth="1"/>
    <col min="14872" max="14872" width="15.44140625" style="46" customWidth="1"/>
    <col min="14873" max="14874" width="0" style="46" hidden="1" customWidth="1"/>
    <col min="14875" max="14875" width="15" style="46" customWidth="1"/>
    <col min="14876" max="14876" width="9.44140625" style="46" customWidth="1"/>
    <col min="14877" max="14877" width="10.5546875" style="46" customWidth="1"/>
    <col min="14878" max="14878" width="9.5546875" style="46" customWidth="1"/>
    <col min="14879" max="14879" width="11.44140625" style="46" customWidth="1"/>
    <col min="14880" max="14880" width="9.109375" style="46"/>
    <col min="14881" max="14881" width="12.5546875" style="46" bestFit="1" customWidth="1"/>
    <col min="14882" max="14882" width="20.109375" style="46" bestFit="1" customWidth="1"/>
    <col min="14883" max="15104" width="9.109375" style="46"/>
    <col min="15105" max="15105" width="5.44140625" style="46" customWidth="1"/>
    <col min="15106" max="15106" width="45.109375" style="46" customWidth="1"/>
    <col min="15107" max="15107" width="15.109375" style="46" customWidth="1"/>
    <col min="15108" max="15108" width="16.44140625" style="46" customWidth="1"/>
    <col min="15109" max="15109" width="17.109375" style="46" customWidth="1"/>
    <col min="15110" max="15112" width="0" style="46" hidden="1" customWidth="1"/>
    <col min="15113" max="15114" width="15.88671875" style="46" customWidth="1"/>
    <col min="15115" max="15115" width="11.109375" style="46" customWidth="1"/>
    <col min="15116" max="15116" width="11.88671875" style="46" customWidth="1"/>
    <col min="15117" max="15117" width="10.44140625" style="46" customWidth="1"/>
    <col min="15118" max="15118" width="16.44140625" style="46" customWidth="1"/>
    <col min="15119" max="15119" width="14.109375" style="46" customWidth="1"/>
    <col min="15120" max="15120" width="15.88671875" style="46" customWidth="1"/>
    <col min="15121" max="15122" width="0" style="46" hidden="1" customWidth="1"/>
    <col min="15123" max="15123" width="11.88671875" style="46" customWidth="1"/>
    <col min="15124" max="15124" width="15.88671875" style="46" customWidth="1"/>
    <col min="15125" max="15125" width="15.44140625" style="46" customWidth="1"/>
    <col min="15126" max="15126" width="12.44140625" style="46" customWidth="1"/>
    <col min="15127" max="15127" width="11.109375" style="46" customWidth="1"/>
    <col min="15128" max="15128" width="15.44140625" style="46" customWidth="1"/>
    <col min="15129" max="15130" width="0" style="46" hidden="1" customWidth="1"/>
    <col min="15131" max="15131" width="15" style="46" customWidth="1"/>
    <col min="15132" max="15132" width="9.44140625" style="46" customWidth="1"/>
    <col min="15133" max="15133" width="10.5546875" style="46" customWidth="1"/>
    <col min="15134" max="15134" width="9.5546875" style="46" customWidth="1"/>
    <col min="15135" max="15135" width="11.44140625" style="46" customWidth="1"/>
    <col min="15136" max="15136" width="9.109375" style="46"/>
    <col min="15137" max="15137" width="12.5546875" style="46" bestFit="1" customWidth="1"/>
    <col min="15138" max="15138" width="20.109375" style="46" bestFit="1" customWidth="1"/>
    <col min="15139" max="15360" width="9.109375" style="46"/>
    <col min="15361" max="15361" width="5.44140625" style="46" customWidth="1"/>
    <col min="15362" max="15362" width="45.109375" style="46" customWidth="1"/>
    <col min="15363" max="15363" width="15.109375" style="46" customWidth="1"/>
    <col min="15364" max="15364" width="16.44140625" style="46" customWidth="1"/>
    <col min="15365" max="15365" width="17.109375" style="46" customWidth="1"/>
    <col min="15366" max="15368" width="0" style="46" hidden="1" customWidth="1"/>
    <col min="15369" max="15370" width="15.88671875" style="46" customWidth="1"/>
    <col min="15371" max="15371" width="11.109375" style="46" customWidth="1"/>
    <col min="15372" max="15372" width="11.88671875" style="46" customWidth="1"/>
    <col min="15373" max="15373" width="10.44140625" style="46" customWidth="1"/>
    <col min="15374" max="15374" width="16.44140625" style="46" customWidth="1"/>
    <col min="15375" max="15375" width="14.109375" style="46" customWidth="1"/>
    <col min="15376" max="15376" width="15.88671875" style="46" customWidth="1"/>
    <col min="15377" max="15378" width="0" style="46" hidden="1" customWidth="1"/>
    <col min="15379" max="15379" width="11.88671875" style="46" customWidth="1"/>
    <col min="15380" max="15380" width="15.88671875" style="46" customWidth="1"/>
    <col min="15381" max="15381" width="15.44140625" style="46" customWidth="1"/>
    <col min="15382" max="15382" width="12.44140625" style="46" customWidth="1"/>
    <col min="15383" max="15383" width="11.109375" style="46" customWidth="1"/>
    <col min="15384" max="15384" width="15.44140625" style="46" customWidth="1"/>
    <col min="15385" max="15386" width="0" style="46" hidden="1" customWidth="1"/>
    <col min="15387" max="15387" width="15" style="46" customWidth="1"/>
    <col min="15388" max="15388" width="9.44140625" style="46" customWidth="1"/>
    <col min="15389" max="15389" width="10.5546875" style="46" customWidth="1"/>
    <col min="15390" max="15390" width="9.5546875" style="46" customWidth="1"/>
    <col min="15391" max="15391" width="11.44140625" style="46" customWidth="1"/>
    <col min="15392" max="15392" width="9.109375" style="46"/>
    <col min="15393" max="15393" width="12.5546875" style="46" bestFit="1" customWidth="1"/>
    <col min="15394" max="15394" width="20.109375" style="46" bestFit="1" customWidth="1"/>
    <col min="15395" max="15616" width="9.109375" style="46"/>
    <col min="15617" max="15617" width="5.44140625" style="46" customWidth="1"/>
    <col min="15618" max="15618" width="45.109375" style="46" customWidth="1"/>
    <col min="15619" max="15619" width="15.109375" style="46" customWidth="1"/>
    <col min="15620" max="15620" width="16.44140625" style="46" customWidth="1"/>
    <col min="15621" max="15621" width="17.109375" style="46" customWidth="1"/>
    <col min="15622" max="15624" width="0" style="46" hidden="1" customWidth="1"/>
    <col min="15625" max="15626" width="15.88671875" style="46" customWidth="1"/>
    <col min="15627" max="15627" width="11.109375" style="46" customWidth="1"/>
    <col min="15628" max="15628" width="11.88671875" style="46" customWidth="1"/>
    <col min="15629" max="15629" width="10.44140625" style="46" customWidth="1"/>
    <col min="15630" max="15630" width="16.44140625" style="46" customWidth="1"/>
    <col min="15631" max="15631" width="14.109375" style="46" customWidth="1"/>
    <col min="15632" max="15632" width="15.88671875" style="46" customWidth="1"/>
    <col min="15633" max="15634" width="0" style="46" hidden="1" customWidth="1"/>
    <col min="15635" max="15635" width="11.88671875" style="46" customWidth="1"/>
    <col min="15636" max="15636" width="15.88671875" style="46" customWidth="1"/>
    <col min="15637" max="15637" width="15.44140625" style="46" customWidth="1"/>
    <col min="15638" max="15638" width="12.44140625" style="46" customWidth="1"/>
    <col min="15639" max="15639" width="11.109375" style="46" customWidth="1"/>
    <col min="15640" max="15640" width="15.44140625" style="46" customWidth="1"/>
    <col min="15641" max="15642" width="0" style="46" hidden="1" customWidth="1"/>
    <col min="15643" max="15643" width="15" style="46" customWidth="1"/>
    <col min="15644" max="15644" width="9.44140625" style="46" customWidth="1"/>
    <col min="15645" max="15645" width="10.5546875" style="46" customWidth="1"/>
    <col min="15646" max="15646" width="9.5546875" style="46" customWidth="1"/>
    <col min="15647" max="15647" width="11.44140625" style="46" customWidth="1"/>
    <col min="15648" max="15648" width="9.109375" style="46"/>
    <col min="15649" max="15649" width="12.5546875" style="46" bestFit="1" customWidth="1"/>
    <col min="15650" max="15650" width="20.109375" style="46" bestFit="1" customWidth="1"/>
    <col min="15651" max="15872" width="9.109375" style="46"/>
    <col min="15873" max="15873" width="5.44140625" style="46" customWidth="1"/>
    <col min="15874" max="15874" width="45.109375" style="46" customWidth="1"/>
    <col min="15875" max="15875" width="15.109375" style="46" customWidth="1"/>
    <col min="15876" max="15876" width="16.44140625" style="46" customWidth="1"/>
    <col min="15877" max="15877" width="17.109375" style="46" customWidth="1"/>
    <col min="15878" max="15880" width="0" style="46" hidden="1" customWidth="1"/>
    <col min="15881" max="15882" width="15.88671875" style="46" customWidth="1"/>
    <col min="15883" max="15883" width="11.109375" style="46" customWidth="1"/>
    <col min="15884" max="15884" width="11.88671875" style="46" customWidth="1"/>
    <col min="15885" max="15885" width="10.44140625" style="46" customWidth="1"/>
    <col min="15886" max="15886" width="16.44140625" style="46" customWidth="1"/>
    <col min="15887" max="15887" width="14.109375" style="46" customWidth="1"/>
    <col min="15888" max="15888" width="15.88671875" style="46" customWidth="1"/>
    <col min="15889" max="15890" width="0" style="46" hidden="1" customWidth="1"/>
    <col min="15891" max="15891" width="11.88671875" style="46" customWidth="1"/>
    <col min="15892" max="15892" width="15.88671875" style="46" customWidth="1"/>
    <col min="15893" max="15893" width="15.44140625" style="46" customWidth="1"/>
    <col min="15894" max="15894" width="12.44140625" style="46" customWidth="1"/>
    <col min="15895" max="15895" width="11.109375" style="46" customWidth="1"/>
    <col min="15896" max="15896" width="15.44140625" style="46" customWidth="1"/>
    <col min="15897" max="15898" width="0" style="46" hidden="1" customWidth="1"/>
    <col min="15899" max="15899" width="15" style="46" customWidth="1"/>
    <col min="15900" max="15900" width="9.44140625" style="46" customWidth="1"/>
    <col min="15901" max="15901" width="10.5546875" style="46" customWidth="1"/>
    <col min="15902" max="15902" width="9.5546875" style="46" customWidth="1"/>
    <col min="15903" max="15903" width="11.44140625" style="46" customWidth="1"/>
    <col min="15904" max="15904" width="9.109375" style="46"/>
    <col min="15905" max="15905" width="12.5546875" style="46" bestFit="1" customWidth="1"/>
    <col min="15906" max="15906" width="20.109375" style="46" bestFit="1" customWidth="1"/>
    <col min="15907" max="16128" width="9.109375" style="46"/>
    <col min="16129" max="16129" width="5.44140625" style="46" customWidth="1"/>
    <col min="16130" max="16130" width="45.109375" style="46" customWidth="1"/>
    <col min="16131" max="16131" width="15.109375" style="46" customWidth="1"/>
    <col min="16132" max="16132" width="16.44140625" style="46" customWidth="1"/>
    <col min="16133" max="16133" width="17.109375" style="46" customWidth="1"/>
    <col min="16134" max="16136" width="0" style="46" hidden="1" customWidth="1"/>
    <col min="16137" max="16138" width="15.88671875" style="46" customWidth="1"/>
    <col min="16139" max="16139" width="11.109375" style="46" customWidth="1"/>
    <col min="16140" max="16140" width="11.88671875" style="46" customWidth="1"/>
    <col min="16141" max="16141" width="10.44140625" style="46" customWidth="1"/>
    <col min="16142" max="16142" width="16.44140625" style="46" customWidth="1"/>
    <col min="16143" max="16143" width="14.109375" style="46" customWidth="1"/>
    <col min="16144" max="16144" width="15.88671875" style="46" customWidth="1"/>
    <col min="16145" max="16146" width="0" style="46" hidden="1" customWidth="1"/>
    <col min="16147" max="16147" width="11.88671875" style="46" customWidth="1"/>
    <col min="16148" max="16148" width="15.88671875" style="46" customWidth="1"/>
    <col min="16149" max="16149" width="15.44140625" style="46" customWidth="1"/>
    <col min="16150" max="16150" width="12.44140625" style="46" customWidth="1"/>
    <col min="16151" max="16151" width="11.109375" style="46" customWidth="1"/>
    <col min="16152" max="16152" width="15.44140625" style="46" customWidth="1"/>
    <col min="16153" max="16154" width="0" style="46" hidden="1" customWidth="1"/>
    <col min="16155" max="16155" width="15" style="46" customWidth="1"/>
    <col min="16156" max="16156" width="9.44140625" style="46" customWidth="1"/>
    <col min="16157" max="16157" width="10.5546875" style="46" customWidth="1"/>
    <col min="16158" max="16158" width="9.5546875" style="46" customWidth="1"/>
    <col min="16159" max="16159" width="11.44140625" style="46" customWidth="1"/>
    <col min="16160" max="16160" width="9.109375" style="46"/>
    <col min="16161" max="16161" width="12.5546875" style="46" bestFit="1" customWidth="1"/>
    <col min="16162" max="16162" width="20.109375" style="46" bestFit="1" customWidth="1"/>
    <col min="16163" max="16384" width="9.109375" style="46"/>
  </cols>
  <sheetData>
    <row r="1" spans="1:35" ht="16.8" x14ac:dyDescent="0.3">
      <c r="A1" s="174"/>
      <c r="B1" s="301"/>
      <c r="C1" s="301"/>
      <c r="D1" s="49"/>
      <c r="E1" s="50"/>
      <c r="F1" s="50"/>
      <c r="G1" s="50"/>
      <c r="H1" s="50"/>
      <c r="O1" s="49"/>
      <c r="P1" s="50"/>
      <c r="Q1" s="50"/>
      <c r="R1" s="50"/>
      <c r="AB1" s="52"/>
      <c r="AC1" s="298" t="s">
        <v>99</v>
      </c>
      <c r="AD1" s="298"/>
      <c r="AE1" s="298"/>
      <c r="AF1" s="46"/>
    </row>
    <row r="2" spans="1:35" x14ac:dyDescent="0.3">
      <c r="A2" s="53"/>
      <c r="C2" s="50"/>
      <c r="D2" s="49"/>
      <c r="G2" s="50"/>
      <c r="O2" s="49"/>
      <c r="AB2" s="50"/>
      <c r="AF2" s="46"/>
    </row>
    <row r="3" spans="1:35" ht="21.75" customHeight="1" x14ac:dyDescent="0.3">
      <c r="A3" s="291" t="s">
        <v>254</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175"/>
    </row>
    <row r="4" spans="1:35" ht="21.75" customHeight="1" x14ac:dyDescent="0.3">
      <c r="A4" s="300" t="s">
        <v>538</v>
      </c>
      <c r="B4" s="300"/>
      <c r="C4" s="300"/>
      <c r="D4" s="300"/>
      <c r="E4" s="300"/>
      <c r="F4" s="300"/>
      <c r="G4" s="300"/>
      <c r="H4" s="300"/>
      <c r="I4" s="300"/>
      <c r="J4" s="300"/>
      <c r="K4" s="300"/>
      <c r="L4" s="300"/>
      <c r="M4" s="300"/>
      <c r="N4" s="300"/>
      <c r="O4" s="300"/>
      <c r="P4" s="300"/>
      <c r="Q4" s="300"/>
      <c r="R4" s="300"/>
      <c r="S4" s="300"/>
      <c r="T4" s="300"/>
      <c r="U4" s="300"/>
      <c r="V4" s="300"/>
      <c r="W4" s="300"/>
      <c r="X4" s="300"/>
      <c r="Y4" s="300"/>
      <c r="Z4" s="300"/>
      <c r="AA4" s="300"/>
      <c r="AB4" s="300"/>
      <c r="AC4" s="300"/>
      <c r="AD4" s="300"/>
      <c r="AE4" s="300"/>
      <c r="AF4" s="175"/>
    </row>
    <row r="5" spans="1:35" ht="21.75" customHeight="1" x14ac:dyDescent="0.3">
      <c r="A5" s="281"/>
      <c r="B5" s="176"/>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5"/>
    </row>
    <row r="6" spans="1:35" x14ac:dyDescent="0.3">
      <c r="B6" s="51"/>
      <c r="C6" s="50"/>
      <c r="D6" s="50"/>
      <c r="E6" s="50"/>
      <c r="F6" s="50"/>
      <c r="G6" s="50"/>
      <c r="H6" s="50"/>
      <c r="I6" s="50"/>
      <c r="J6" s="50"/>
      <c r="K6" s="50"/>
      <c r="L6" s="50"/>
      <c r="M6" s="50"/>
      <c r="N6" s="50"/>
      <c r="O6" s="50"/>
      <c r="P6" s="50"/>
      <c r="Q6" s="50"/>
      <c r="R6" s="50"/>
      <c r="S6" s="50"/>
      <c r="T6" s="50"/>
      <c r="U6" s="50"/>
      <c r="W6" s="49"/>
      <c r="X6" s="50"/>
      <c r="Y6" s="50"/>
      <c r="Z6" s="50"/>
      <c r="AA6" s="50"/>
      <c r="AB6" s="302"/>
      <c r="AC6" s="302"/>
      <c r="AD6" s="303" t="s">
        <v>312</v>
      </c>
      <c r="AE6" s="303"/>
      <c r="AF6" s="46"/>
    </row>
    <row r="7" spans="1:35" s="178" customFormat="1" ht="25.95" customHeight="1" x14ac:dyDescent="0.25">
      <c r="A7" s="290" t="s">
        <v>2</v>
      </c>
      <c r="B7" s="290" t="s">
        <v>100</v>
      </c>
      <c r="C7" s="294" t="s">
        <v>37</v>
      </c>
      <c r="D7" s="304"/>
      <c r="E7" s="304"/>
      <c r="F7" s="304"/>
      <c r="G7" s="304"/>
      <c r="H7" s="304"/>
      <c r="I7" s="304"/>
      <c r="J7" s="304"/>
      <c r="K7" s="304"/>
      <c r="L7" s="304"/>
      <c r="M7" s="295"/>
      <c r="N7" s="294" t="s">
        <v>5</v>
      </c>
      <c r="O7" s="304"/>
      <c r="P7" s="304"/>
      <c r="Q7" s="304"/>
      <c r="R7" s="304"/>
      <c r="S7" s="304"/>
      <c r="T7" s="304"/>
      <c r="U7" s="304"/>
      <c r="V7" s="304"/>
      <c r="W7" s="304"/>
      <c r="X7" s="304"/>
      <c r="Y7" s="280"/>
      <c r="Z7" s="280"/>
      <c r="AA7" s="280"/>
      <c r="AB7" s="290" t="s">
        <v>6</v>
      </c>
      <c r="AC7" s="290"/>
      <c r="AD7" s="290"/>
      <c r="AE7" s="290"/>
    </row>
    <row r="8" spans="1:35" s="178" customFormat="1" ht="25.5" customHeight="1" x14ac:dyDescent="0.25">
      <c r="A8" s="290"/>
      <c r="B8" s="290"/>
      <c r="C8" s="290" t="s">
        <v>313</v>
      </c>
      <c r="D8" s="290" t="s">
        <v>102</v>
      </c>
      <c r="E8" s="290" t="s">
        <v>103</v>
      </c>
      <c r="F8" s="290" t="s">
        <v>249</v>
      </c>
      <c r="G8" s="294" t="s">
        <v>250</v>
      </c>
      <c r="H8" s="295"/>
      <c r="I8" s="290" t="s">
        <v>314</v>
      </c>
      <c r="J8" s="290" t="s">
        <v>315</v>
      </c>
      <c r="K8" s="290" t="s">
        <v>104</v>
      </c>
      <c r="L8" s="290"/>
      <c r="M8" s="290"/>
      <c r="N8" s="290" t="s">
        <v>101</v>
      </c>
      <c r="O8" s="290" t="s">
        <v>102</v>
      </c>
      <c r="P8" s="290" t="s">
        <v>103</v>
      </c>
      <c r="Q8" s="296" t="s">
        <v>127</v>
      </c>
      <c r="R8" s="297"/>
      <c r="S8" s="290" t="s">
        <v>314</v>
      </c>
      <c r="T8" s="290" t="s">
        <v>316</v>
      </c>
      <c r="U8" s="290" t="s">
        <v>104</v>
      </c>
      <c r="V8" s="290"/>
      <c r="W8" s="290"/>
      <c r="X8" s="290" t="s">
        <v>105</v>
      </c>
      <c r="Y8" s="294" t="s">
        <v>127</v>
      </c>
      <c r="Z8" s="295"/>
      <c r="AA8" s="290" t="s">
        <v>317</v>
      </c>
      <c r="AB8" s="290" t="s">
        <v>101</v>
      </c>
      <c r="AC8" s="299" t="s">
        <v>102</v>
      </c>
      <c r="AD8" s="299" t="s">
        <v>103</v>
      </c>
      <c r="AE8" s="299" t="s">
        <v>104</v>
      </c>
    </row>
    <row r="9" spans="1:35" s="182" customFormat="1" ht="97.95" customHeight="1" x14ac:dyDescent="0.25">
      <c r="A9" s="290"/>
      <c r="B9" s="290"/>
      <c r="C9" s="290"/>
      <c r="D9" s="290"/>
      <c r="E9" s="290"/>
      <c r="F9" s="290"/>
      <c r="G9" s="279" t="s">
        <v>131</v>
      </c>
      <c r="H9" s="279" t="s">
        <v>130</v>
      </c>
      <c r="I9" s="290"/>
      <c r="J9" s="290"/>
      <c r="K9" s="282" t="s">
        <v>101</v>
      </c>
      <c r="L9" s="282" t="s">
        <v>106</v>
      </c>
      <c r="M9" s="282" t="s">
        <v>107</v>
      </c>
      <c r="N9" s="290"/>
      <c r="O9" s="290"/>
      <c r="P9" s="290"/>
      <c r="Q9" s="181" t="s">
        <v>165</v>
      </c>
      <c r="R9" s="181" t="s">
        <v>166</v>
      </c>
      <c r="S9" s="290"/>
      <c r="T9" s="290"/>
      <c r="U9" s="282" t="s">
        <v>101</v>
      </c>
      <c r="V9" s="282" t="s">
        <v>106</v>
      </c>
      <c r="W9" s="282" t="s">
        <v>107</v>
      </c>
      <c r="X9" s="290"/>
      <c r="Y9" s="279" t="s">
        <v>168</v>
      </c>
      <c r="Z9" s="279" t="s">
        <v>167</v>
      </c>
      <c r="AA9" s="290"/>
      <c r="AB9" s="290"/>
      <c r="AC9" s="299"/>
      <c r="AD9" s="299"/>
      <c r="AE9" s="299"/>
    </row>
    <row r="10" spans="1:35" s="185" customFormat="1" ht="18.75" customHeight="1" x14ac:dyDescent="0.25">
      <c r="A10" s="183" t="s">
        <v>7</v>
      </c>
      <c r="B10" s="183" t="s">
        <v>8</v>
      </c>
      <c r="C10" s="183" t="s">
        <v>158</v>
      </c>
      <c r="D10" s="183">
        <v>2</v>
      </c>
      <c r="E10" s="183">
        <v>3</v>
      </c>
      <c r="F10" s="183"/>
      <c r="G10" s="183"/>
      <c r="H10" s="183"/>
      <c r="I10" s="183">
        <v>4</v>
      </c>
      <c r="J10" s="183">
        <v>5</v>
      </c>
      <c r="K10" s="183" t="s">
        <v>147</v>
      </c>
      <c r="L10" s="183">
        <v>7</v>
      </c>
      <c r="M10" s="183">
        <v>8</v>
      </c>
      <c r="N10" s="184" t="s">
        <v>492</v>
      </c>
      <c r="O10" s="183">
        <v>10</v>
      </c>
      <c r="P10" s="183">
        <v>11</v>
      </c>
      <c r="Q10" s="183"/>
      <c r="R10" s="183"/>
      <c r="S10" s="183">
        <v>12</v>
      </c>
      <c r="T10" s="183">
        <v>13</v>
      </c>
      <c r="U10" s="183" t="s">
        <v>159</v>
      </c>
      <c r="V10" s="183">
        <v>15</v>
      </c>
      <c r="W10" s="183">
        <v>16</v>
      </c>
      <c r="X10" s="183">
        <v>17</v>
      </c>
      <c r="Y10" s="183">
        <v>18</v>
      </c>
      <c r="Z10" s="183">
        <v>19</v>
      </c>
      <c r="AA10" s="183">
        <v>18</v>
      </c>
      <c r="AB10" s="183" t="s">
        <v>493</v>
      </c>
      <c r="AC10" s="183" t="s">
        <v>494</v>
      </c>
      <c r="AD10" s="183" t="s">
        <v>495</v>
      </c>
      <c r="AE10" s="183" t="s">
        <v>496</v>
      </c>
    </row>
    <row r="11" spans="1:35" s="151" customFormat="1" ht="18.75" customHeight="1" x14ac:dyDescent="0.3">
      <c r="A11" s="186"/>
      <c r="B11" s="186" t="s">
        <v>101</v>
      </c>
      <c r="C11" s="187">
        <f>D11+E11+I11+J11+K11</f>
        <v>5343178.0010000002</v>
      </c>
      <c r="D11" s="186">
        <f t="shared" ref="D11:M11" si="0">D12+D110+D111+D112+D113+D114+D102</f>
        <v>2272491.0010000002</v>
      </c>
      <c r="E11" s="186">
        <f t="shared" si="0"/>
        <v>2097750</v>
      </c>
      <c r="F11" s="186">
        <f t="shared" si="0"/>
        <v>1641206</v>
      </c>
      <c r="G11" s="186">
        <f t="shared" si="0"/>
        <v>149330</v>
      </c>
      <c r="H11" s="186">
        <f t="shared" si="0"/>
        <v>307214</v>
      </c>
      <c r="I11" s="186">
        <f t="shared" si="0"/>
        <v>1300</v>
      </c>
      <c r="J11" s="186">
        <f t="shared" si="0"/>
        <v>814749</v>
      </c>
      <c r="K11" s="186">
        <f t="shared" si="0"/>
        <v>156888</v>
      </c>
      <c r="L11" s="186">
        <f t="shared" si="0"/>
        <v>143516</v>
      </c>
      <c r="M11" s="186">
        <f t="shared" si="0"/>
        <v>13372</v>
      </c>
      <c r="N11" s="186">
        <f t="shared" ref="N11:AA11" si="1">N12+N110+N111+N112+N113+N114+N115</f>
        <v>9027415.0441269986</v>
      </c>
      <c r="O11" s="186">
        <f t="shared" si="1"/>
        <v>1630998.2421399998</v>
      </c>
      <c r="P11" s="186">
        <f t="shared" si="1"/>
        <v>1868358.7552919998</v>
      </c>
      <c r="Q11" s="186">
        <f t="shared" si="1"/>
        <v>1483142.0845370002</v>
      </c>
      <c r="R11" s="186">
        <f t="shared" si="1"/>
        <v>387706.50207299995</v>
      </c>
      <c r="S11" s="186">
        <f t="shared" si="1"/>
        <v>18520.929</v>
      </c>
      <c r="T11" s="186">
        <f t="shared" si="1"/>
        <v>3299196.0079999999</v>
      </c>
      <c r="U11" s="186">
        <f t="shared" si="1"/>
        <v>165821.574395</v>
      </c>
      <c r="V11" s="186">
        <f t="shared" si="1"/>
        <v>153995.07577</v>
      </c>
      <c r="W11" s="186">
        <f t="shared" si="1"/>
        <v>11826.498624999998</v>
      </c>
      <c r="X11" s="186">
        <f t="shared" si="1"/>
        <v>1859411.5550220001</v>
      </c>
      <c r="Y11" s="186">
        <f t="shared" si="1"/>
        <v>0</v>
      </c>
      <c r="Z11" s="186">
        <f t="shared" si="1"/>
        <v>0</v>
      </c>
      <c r="AA11" s="186">
        <f t="shared" si="1"/>
        <v>185107.980278</v>
      </c>
      <c r="AB11" s="188">
        <f>N11/C11%</f>
        <v>168.95216746358585</v>
      </c>
      <c r="AC11" s="188">
        <f>O11/D11%</f>
        <v>71.771383975658679</v>
      </c>
      <c r="AD11" s="188">
        <f>P11/E11%</f>
        <v>89.064891206864488</v>
      </c>
      <c r="AE11" s="188">
        <f>U11/K11%</f>
        <v>105.69423690467084</v>
      </c>
    </row>
    <row r="12" spans="1:35" s="151" customFormat="1" ht="24.75" customHeight="1" x14ac:dyDescent="0.3">
      <c r="A12" s="187" t="s">
        <v>41</v>
      </c>
      <c r="B12" s="189" t="s">
        <v>318</v>
      </c>
      <c r="C12" s="187">
        <f>D12+E12+I12+J12+K12</f>
        <v>4271294.0010000002</v>
      </c>
      <c r="D12" s="187">
        <f t="shared" ref="D12:Z12" si="2">D13+D90</f>
        <v>2148364.0010000002</v>
      </c>
      <c r="E12" s="187">
        <f t="shared" si="2"/>
        <v>1966042</v>
      </c>
      <c r="F12" s="187">
        <f t="shared" si="2"/>
        <v>1509498</v>
      </c>
      <c r="G12" s="187">
        <f t="shared" si="2"/>
        <v>149330</v>
      </c>
      <c r="H12" s="187">
        <f t="shared" si="2"/>
        <v>307214</v>
      </c>
      <c r="I12" s="187">
        <f t="shared" si="2"/>
        <v>0</v>
      </c>
      <c r="J12" s="187">
        <f t="shared" si="2"/>
        <v>0</v>
      </c>
      <c r="K12" s="187">
        <f t="shared" si="2"/>
        <v>156888</v>
      </c>
      <c r="L12" s="187">
        <f t="shared" si="2"/>
        <v>143516</v>
      </c>
      <c r="M12" s="187">
        <f t="shared" si="2"/>
        <v>13372</v>
      </c>
      <c r="N12" s="187">
        <f t="shared" si="2"/>
        <v>3665178.5718269995</v>
      </c>
      <c r="O12" s="187">
        <f t="shared" si="2"/>
        <v>1630998.2421399998</v>
      </c>
      <c r="P12" s="187">
        <f t="shared" si="2"/>
        <v>1868358.7552919998</v>
      </c>
      <c r="Q12" s="187">
        <f t="shared" si="2"/>
        <v>1483142.0845370002</v>
      </c>
      <c r="R12" s="187">
        <f t="shared" si="2"/>
        <v>387706.50207299995</v>
      </c>
      <c r="S12" s="187">
        <f t="shared" si="2"/>
        <v>0</v>
      </c>
      <c r="T12" s="187">
        <f t="shared" si="2"/>
        <v>0</v>
      </c>
      <c r="U12" s="187">
        <f t="shared" si="2"/>
        <v>165821.574395</v>
      </c>
      <c r="V12" s="187">
        <f t="shared" si="2"/>
        <v>153995.07577</v>
      </c>
      <c r="W12" s="187">
        <f t="shared" si="2"/>
        <v>11826.498624999998</v>
      </c>
      <c r="X12" s="187">
        <f t="shared" si="2"/>
        <v>0</v>
      </c>
      <c r="Y12" s="187">
        <f t="shared" si="2"/>
        <v>0</v>
      </c>
      <c r="Z12" s="187">
        <f t="shared" si="2"/>
        <v>0</v>
      </c>
      <c r="AA12" s="187"/>
      <c r="AB12" s="188">
        <f t="shared" ref="AB12:AB62" si="3">N12/C12%</f>
        <v>85.809559608139921</v>
      </c>
      <c r="AC12" s="188">
        <f>O12/D12%</f>
        <v>75.918151736894586</v>
      </c>
      <c r="AD12" s="188">
        <f t="shared" ref="AD12:AD62" si="4">P12/E12%</f>
        <v>95.031477216254785</v>
      </c>
      <c r="AE12" s="188">
        <f>U12/K12%</f>
        <v>105.69423690467084</v>
      </c>
      <c r="AG12" s="153"/>
    </row>
    <row r="13" spans="1:35" s="151" customFormat="1" ht="33.75" customHeight="1" x14ac:dyDescent="0.3">
      <c r="A13" s="187" t="s">
        <v>319</v>
      </c>
      <c r="B13" s="189" t="s">
        <v>320</v>
      </c>
      <c r="C13" s="187">
        <f>SUM(C14:C89)</f>
        <v>4000418.4759999993</v>
      </c>
      <c r="D13" s="187">
        <f t="shared" ref="D13:AA13" si="5">SUM(D14:D89)</f>
        <v>2021004.476</v>
      </c>
      <c r="E13" s="187">
        <f t="shared" si="5"/>
        <v>1966042</v>
      </c>
      <c r="F13" s="187">
        <f t="shared" si="5"/>
        <v>1509498</v>
      </c>
      <c r="G13" s="187">
        <f t="shared" si="5"/>
        <v>149330</v>
      </c>
      <c r="H13" s="187">
        <f t="shared" si="5"/>
        <v>307214</v>
      </c>
      <c r="I13" s="187">
        <f t="shared" si="5"/>
        <v>0</v>
      </c>
      <c r="J13" s="187">
        <f t="shared" si="5"/>
        <v>0</v>
      </c>
      <c r="K13" s="187">
        <f t="shared" si="5"/>
        <v>13372</v>
      </c>
      <c r="L13" s="187">
        <f t="shared" si="5"/>
        <v>0</v>
      </c>
      <c r="M13" s="187">
        <f t="shared" si="5"/>
        <v>13372</v>
      </c>
      <c r="N13" s="187">
        <f t="shared" si="5"/>
        <v>3371863.2432809994</v>
      </c>
      <c r="O13" s="187">
        <f t="shared" si="5"/>
        <v>1491677.9893639998</v>
      </c>
      <c r="P13" s="187">
        <f t="shared" si="5"/>
        <v>1868358.7552919998</v>
      </c>
      <c r="Q13" s="187">
        <f t="shared" si="5"/>
        <v>1483142.0845370002</v>
      </c>
      <c r="R13" s="187">
        <f t="shared" si="5"/>
        <v>387706.50207299995</v>
      </c>
      <c r="S13" s="187">
        <f t="shared" si="5"/>
        <v>0</v>
      </c>
      <c r="T13" s="187">
        <f t="shared" si="5"/>
        <v>0</v>
      </c>
      <c r="U13" s="187">
        <f t="shared" si="5"/>
        <v>11826.498624999998</v>
      </c>
      <c r="V13" s="187">
        <f t="shared" si="5"/>
        <v>0</v>
      </c>
      <c r="W13" s="187">
        <f t="shared" si="5"/>
        <v>11826.498624999998</v>
      </c>
      <c r="X13" s="187">
        <f t="shared" si="5"/>
        <v>0</v>
      </c>
      <c r="Y13" s="187">
        <f t="shared" si="5"/>
        <v>0</v>
      </c>
      <c r="Z13" s="187">
        <f t="shared" si="5"/>
        <v>0</v>
      </c>
      <c r="AA13" s="187">
        <f t="shared" si="5"/>
        <v>0</v>
      </c>
      <c r="AB13" s="188">
        <f t="shared" si="3"/>
        <v>84.287762980549729</v>
      </c>
      <c r="AC13" s="188">
        <f>O13/D13%</f>
        <v>73.808742488109147</v>
      </c>
      <c r="AD13" s="188">
        <f t="shared" si="4"/>
        <v>95.031477216254785</v>
      </c>
      <c r="AE13" s="188">
        <f>U13/K13%</f>
        <v>88.442257141788801</v>
      </c>
      <c r="AG13" s="153"/>
      <c r="AH13" s="190"/>
      <c r="AI13" s="153"/>
    </row>
    <row r="14" spans="1:35" s="155" customFormat="1" ht="39.75" customHeight="1" x14ac:dyDescent="0.3">
      <c r="A14" s="191" t="s">
        <v>321</v>
      </c>
      <c r="B14" s="192" t="s">
        <v>322</v>
      </c>
      <c r="C14" s="193">
        <f>D14+E14+I14+J14+K14</f>
        <v>235941</v>
      </c>
      <c r="D14" s="193">
        <v>38495</v>
      </c>
      <c r="E14" s="193">
        <f>F14+G14+H14</f>
        <v>190556</v>
      </c>
      <c r="F14" s="193">
        <f>159904+9192</f>
        <v>169096</v>
      </c>
      <c r="G14" s="193"/>
      <c r="H14" s="193">
        <f>31302-11342+1500</f>
        <v>21460</v>
      </c>
      <c r="I14" s="193"/>
      <c r="J14" s="193"/>
      <c r="K14" s="193">
        <f t="shared" ref="K14:K76" si="6">L14+M14</f>
        <v>6890</v>
      </c>
      <c r="L14" s="193"/>
      <c r="M14" s="193">
        <f>3890+3000</f>
        <v>6890</v>
      </c>
      <c r="N14" s="193">
        <f>O14+P14+S14+T14+U14</f>
        <v>197776.60174699998</v>
      </c>
      <c r="O14" s="193">
        <v>35085.492653000001</v>
      </c>
      <c r="P14" s="194">
        <f>Q14+R14</f>
        <v>156840.43621999997</v>
      </c>
      <c r="Q14" s="193">
        <f>160610.581094-W14</f>
        <v>154759.90821999998</v>
      </c>
      <c r="R14" s="194">
        <v>2080.5279999999998</v>
      </c>
      <c r="S14" s="193"/>
      <c r="T14" s="193"/>
      <c r="U14" s="193">
        <f t="shared" ref="U14:U35" si="7">V14+W14</f>
        <v>5850.6728739999999</v>
      </c>
      <c r="V14" s="193"/>
      <c r="W14" s="193">
        <f>(2418403874+1906724000+295001000+1230544000)/1000000</f>
        <v>5850.6728739999999</v>
      </c>
      <c r="X14" s="193"/>
      <c r="Y14" s="193"/>
      <c r="Z14" s="193"/>
      <c r="AA14" s="193"/>
      <c r="AB14" s="195">
        <f t="shared" si="3"/>
        <v>83.824600958290418</v>
      </c>
      <c r="AC14" s="195">
        <f>O14/D14%</f>
        <v>91.142986499545401</v>
      </c>
      <c r="AD14" s="195">
        <f>P14/E14%</f>
        <v>82.306742490396516</v>
      </c>
      <c r="AE14" s="195">
        <f>U14/K14%</f>
        <v>84.915426328011606</v>
      </c>
    </row>
    <row r="15" spans="1:35" s="155" customFormat="1" ht="24.75" customHeight="1" x14ac:dyDescent="0.3">
      <c r="A15" s="196" t="s">
        <v>323</v>
      </c>
      <c r="B15" s="197" t="s">
        <v>324</v>
      </c>
      <c r="C15" s="193">
        <f t="shared" ref="C15:C77" si="8">D15+E15+I15+J15+K15</f>
        <v>76648.626000000004</v>
      </c>
      <c r="D15" s="193">
        <v>3924.6260000000002</v>
      </c>
      <c r="E15" s="193">
        <f t="shared" ref="E15:E77" si="9">F15+G15+H15</f>
        <v>72724</v>
      </c>
      <c r="F15" s="193">
        <v>28053</v>
      </c>
      <c r="G15" s="193"/>
      <c r="H15" s="193">
        <f>477+44194</f>
        <v>44671</v>
      </c>
      <c r="I15" s="193"/>
      <c r="J15" s="193"/>
      <c r="K15" s="193">
        <f t="shared" si="6"/>
        <v>0</v>
      </c>
      <c r="L15" s="193"/>
      <c r="M15" s="193"/>
      <c r="N15" s="193">
        <f>O15+P15+S15+T15+U15</f>
        <v>77743.468875000006</v>
      </c>
      <c r="O15" s="193">
        <v>13521.389000000001</v>
      </c>
      <c r="P15" s="194">
        <f>Q15+R15</f>
        <v>64222.079875000003</v>
      </c>
      <c r="Q15" s="193">
        <v>64222.079875000003</v>
      </c>
      <c r="R15" s="193"/>
      <c r="S15" s="193"/>
      <c r="T15" s="193"/>
      <c r="U15" s="193">
        <f t="shared" si="7"/>
        <v>0</v>
      </c>
      <c r="V15" s="193"/>
      <c r="W15" s="193"/>
      <c r="X15" s="193"/>
      <c r="Y15" s="193"/>
      <c r="Z15" s="193"/>
      <c r="AA15" s="193"/>
      <c r="AB15" s="195">
        <f t="shared" si="3"/>
        <v>101.42839204319202</v>
      </c>
      <c r="AC15" s="195">
        <f>O15/D15%</f>
        <v>344.52681605839643</v>
      </c>
      <c r="AD15" s="195">
        <f t="shared" si="4"/>
        <v>88.309333748143672</v>
      </c>
      <c r="AE15" s="195"/>
      <c r="AG15" s="154"/>
    </row>
    <row r="16" spans="1:35" s="155" customFormat="1" ht="24.75" customHeight="1" x14ac:dyDescent="0.3">
      <c r="A16" s="191" t="s">
        <v>325</v>
      </c>
      <c r="B16" s="198" t="s">
        <v>326</v>
      </c>
      <c r="C16" s="193">
        <f t="shared" si="8"/>
        <v>5651</v>
      </c>
      <c r="D16" s="193"/>
      <c r="E16" s="193">
        <f t="shared" si="9"/>
        <v>5651</v>
      </c>
      <c r="F16" s="193">
        <v>5651</v>
      </c>
      <c r="G16" s="193"/>
      <c r="H16" s="193"/>
      <c r="I16" s="193"/>
      <c r="J16" s="193"/>
      <c r="K16" s="193">
        <f t="shared" si="6"/>
        <v>0</v>
      </c>
      <c r="L16" s="193"/>
      <c r="M16" s="193"/>
      <c r="N16" s="193">
        <f t="shared" ref="N16:N78" si="10">O16+P16+S16+T16+U16</f>
        <v>6519.4210000000003</v>
      </c>
      <c r="O16" s="193"/>
      <c r="P16" s="194">
        <v>6519.4210000000003</v>
      </c>
      <c r="Q16" s="193">
        <v>6519.4213220000001</v>
      </c>
      <c r="R16" s="194"/>
      <c r="S16" s="193"/>
      <c r="T16" s="193"/>
      <c r="U16" s="193">
        <f t="shared" si="7"/>
        <v>0</v>
      </c>
      <c r="V16" s="193"/>
      <c r="W16" s="193"/>
      <c r="X16" s="193"/>
      <c r="Y16" s="193"/>
      <c r="Z16" s="193"/>
      <c r="AA16" s="193"/>
      <c r="AB16" s="195">
        <f t="shared" si="3"/>
        <v>115.36756326313927</v>
      </c>
      <c r="AC16" s="195"/>
      <c r="AD16" s="195">
        <f t="shared" si="4"/>
        <v>115.36756326313927</v>
      </c>
      <c r="AE16" s="195"/>
    </row>
    <row r="17" spans="1:31" s="155" customFormat="1" ht="24.75" customHeight="1" x14ac:dyDescent="0.3">
      <c r="A17" s="196" t="s">
        <v>327</v>
      </c>
      <c r="B17" s="198" t="s">
        <v>328</v>
      </c>
      <c r="C17" s="193">
        <f t="shared" si="8"/>
        <v>31156</v>
      </c>
      <c r="D17" s="199"/>
      <c r="E17" s="193">
        <f t="shared" si="9"/>
        <v>31156</v>
      </c>
      <c r="F17" s="193">
        <v>30856</v>
      </c>
      <c r="G17" s="193"/>
      <c r="H17" s="193">
        <v>300</v>
      </c>
      <c r="I17" s="193"/>
      <c r="J17" s="193"/>
      <c r="K17" s="193">
        <f t="shared" si="6"/>
        <v>0</v>
      </c>
      <c r="L17" s="193"/>
      <c r="M17" s="193"/>
      <c r="N17" s="193">
        <f t="shared" si="10"/>
        <v>59158.771887000003</v>
      </c>
      <c r="O17" s="193"/>
      <c r="P17" s="194">
        <f>Q17+R17</f>
        <v>59158.771887000003</v>
      </c>
      <c r="Q17" s="193">
        <v>59158.771887000003</v>
      </c>
      <c r="R17" s="193"/>
      <c r="S17" s="193"/>
      <c r="T17" s="193"/>
      <c r="U17" s="193">
        <f t="shared" si="7"/>
        <v>0</v>
      </c>
      <c r="V17" s="193"/>
      <c r="W17" s="193"/>
      <c r="X17" s="193"/>
      <c r="Y17" s="193"/>
      <c r="Z17" s="193"/>
      <c r="AA17" s="193"/>
      <c r="AB17" s="195">
        <f t="shared" si="3"/>
        <v>189.87922675247145</v>
      </c>
      <c r="AC17" s="195"/>
      <c r="AD17" s="195">
        <f t="shared" si="4"/>
        <v>189.87922675247145</v>
      </c>
      <c r="AE17" s="195"/>
    </row>
    <row r="18" spans="1:31" s="155" customFormat="1" ht="24.75" customHeight="1" x14ac:dyDescent="0.3">
      <c r="A18" s="191" t="s">
        <v>329</v>
      </c>
      <c r="B18" s="192" t="s">
        <v>330</v>
      </c>
      <c r="C18" s="193">
        <f t="shared" si="8"/>
        <v>40165</v>
      </c>
      <c r="D18" s="193">
        <v>31320</v>
      </c>
      <c r="E18" s="193">
        <f t="shared" si="9"/>
        <v>8845</v>
      </c>
      <c r="F18" s="193">
        <v>8845</v>
      </c>
      <c r="G18" s="193"/>
      <c r="H18" s="193"/>
      <c r="I18" s="193"/>
      <c r="J18" s="193"/>
      <c r="K18" s="193">
        <f t="shared" si="6"/>
        <v>0</v>
      </c>
      <c r="L18" s="193"/>
      <c r="M18" s="193"/>
      <c r="N18" s="193">
        <f t="shared" si="10"/>
        <v>85153.110266999996</v>
      </c>
      <c r="O18" s="193">
        <v>76618.680271999998</v>
      </c>
      <c r="P18" s="194">
        <f t="shared" ref="P18:P80" si="11">Q18+R18</f>
        <v>8534.4299950000004</v>
      </c>
      <c r="Q18" s="194">
        <v>8534.4299950000004</v>
      </c>
      <c r="R18" s="193"/>
      <c r="S18" s="193"/>
      <c r="T18" s="193"/>
      <c r="U18" s="193">
        <f t="shared" si="7"/>
        <v>0</v>
      </c>
      <c r="V18" s="193"/>
      <c r="W18" s="193"/>
      <c r="X18" s="193"/>
      <c r="Y18" s="193"/>
      <c r="Z18" s="193"/>
      <c r="AA18" s="193"/>
      <c r="AB18" s="195">
        <f t="shared" si="3"/>
        <v>212.00824167060875</v>
      </c>
      <c r="AC18" s="195">
        <f>O18/D18%</f>
        <v>244.6318016347382</v>
      </c>
      <c r="AD18" s="195">
        <f t="shared" si="4"/>
        <v>96.488750650084796</v>
      </c>
      <c r="AE18" s="195"/>
    </row>
    <row r="19" spans="1:31" s="155" customFormat="1" ht="24.75" customHeight="1" x14ac:dyDescent="0.3">
      <c r="A19" s="196" t="s">
        <v>331</v>
      </c>
      <c r="B19" s="198" t="s">
        <v>332</v>
      </c>
      <c r="C19" s="193">
        <f t="shared" si="8"/>
        <v>435433.81099999999</v>
      </c>
      <c r="D19" s="193">
        <v>2725.8110000000001</v>
      </c>
      <c r="E19" s="193">
        <f t="shared" si="9"/>
        <v>432708</v>
      </c>
      <c r="F19" s="193">
        <f>346307+30992</f>
        <v>377299</v>
      </c>
      <c r="G19" s="193"/>
      <c r="H19" s="193">
        <f>689+1241+1758+562+40+6526+7555+38+7000+30000</f>
        <v>55409</v>
      </c>
      <c r="I19" s="193"/>
      <c r="J19" s="193"/>
      <c r="K19" s="193">
        <f t="shared" si="6"/>
        <v>0</v>
      </c>
      <c r="L19" s="193"/>
      <c r="M19" s="193"/>
      <c r="N19" s="193">
        <f t="shared" si="10"/>
        <v>399876.06708100002</v>
      </c>
      <c r="O19" s="193">
        <v>34999.601000000024</v>
      </c>
      <c r="P19" s="194">
        <f t="shared" si="11"/>
        <v>364876.46608099999</v>
      </c>
      <c r="Q19" s="200">
        <f>364582.966081+294-0.5</f>
        <v>364876.46608099999</v>
      </c>
      <c r="R19" s="193"/>
      <c r="S19" s="193"/>
      <c r="T19" s="193"/>
      <c r="U19" s="193">
        <f t="shared" si="7"/>
        <v>0</v>
      </c>
      <c r="V19" s="193"/>
      <c r="W19" s="193"/>
      <c r="X19" s="193"/>
      <c r="Y19" s="193"/>
      <c r="Z19" s="193"/>
      <c r="AA19" s="193"/>
      <c r="AB19" s="195">
        <f t="shared" si="3"/>
        <v>91.833949725369408</v>
      </c>
      <c r="AC19" s="195">
        <f>O19/D19%</f>
        <v>1284.0068882251933</v>
      </c>
      <c r="AD19" s="195">
        <f t="shared" si="4"/>
        <v>84.323947345785143</v>
      </c>
      <c r="AE19" s="195"/>
    </row>
    <row r="20" spans="1:31" s="155" customFormat="1" ht="24.75" customHeight="1" x14ac:dyDescent="0.3">
      <c r="A20" s="191" t="s">
        <v>333</v>
      </c>
      <c r="B20" s="198" t="s">
        <v>334</v>
      </c>
      <c r="C20" s="193">
        <f t="shared" si="8"/>
        <v>334475.94699999999</v>
      </c>
      <c r="D20" s="193">
        <v>18299.947</v>
      </c>
      <c r="E20" s="193">
        <f t="shared" si="9"/>
        <v>316176</v>
      </c>
      <c r="F20" s="193">
        <f>306519+3987</f>
        <v>310506</v>
      </c>
      <c r="G20" s="193"/>
      <c r="H20" s="193">
        <v>5670</v>
      </c>
      <c r="I20" s="193"/>
      <c r="J20" s="193"/>
      <c r="K20" s="193">
        <f t="shared" si="6"/>
        <v>0</v>
      </c>
      <c r="L20" s="193"/>
      <c r="M20" s="193"/>
      <c r="N20" s="193">
        <f t="shared" si="10"/>
        <v>364074.18507499999</v>
      </c>
      <c r="O20" s="193">
        <v>16120.534228</v>
      </c>
      <c r="P20" s="194">
        <f t="shared" si="11"/>
        <v>347953.65084700001</v>
      </c>
      <c r="Q20" s="193">
        <v>333881.65084700001</v>
      </c>
      <c r="R20" s="193">
        <v>14072</v>
      </c>
      <c r="S20" s="193"/>
      <c r="T20" s="193"/>
      <c r="U20" s="193">
        <f t="shared" si="7"/>
        <v>0</v>
      </c>
      <c r="V20" s="193"/>
      <c r="W20" s="193"/>
      <c r="X20" s="193"/>
      <c r="Y20" s="193"/>
      <c r="Z20" s="193"/>
      <c r="AA20" s="193"/>
      <c r="AB20" s="195">
        <f t="shared" si="3"/>
        <v>108.84913798450206</v>
      </c>
      <c r="AC20" s="195">
        <f>O20/D20%</f>
        <v>88.090606098476684</v>
      </c>
      <c r="AD20" s="195">
        <f t="shared" si="4"/>
        <v>110.05062080834725</v>
      </c>
      <c r="AE20" s="195"/>
    </row>
    <row r="21" spans="1:31" s="155" customFormat="1" ht="24.75" customHeight="1" x14ac:dyDescent="0.3">
      <c r="A21" s="196" t="s">
        <v>335</v>
      </c>
      <c r="B21" s="198" t="s">
        <v>336</v>
      </c>
      <c r="C21" s="193">
        <f t="shared" si="8"/>
        <v>55756</v>
      </c>
      <c r="D21" s="193">
        <v>15060</v>
      </c>
      <c r="E21" s="193">
        <f t="shared" si="9"/>
        <v>40696</v>
      </c>
      <c r="F21" s="193">
        <v>39207</v>
      </c>
      <c r="G21" s="193"/>
      <c r="H21" s="193">
        <f>38+1451</f>
        <v>1489</v>
      </c>
      <c r="I21" s="193"/>
      <c r="J21" s="193"/>
      <c r="K21" s="193">
        <f t="shared" si="6"/>
        <v>0</v>
      </c>
      <c r="L21" s="193"/>
      <c r="M21" s="193"/>
      <c r="N21" s="193">
        <f t="shared" si="10"/>
        <v>65792.659397999989</v>
      </c>
      <c r="O21" s="193">
        <v>23960.145949999998</v>
      </c>
      <c r="P21" s="194">
        <f t="shared" si="11"/>
        <v>41832.513447999998</v>
      </c>
      <c r="Q21" s="193">
        <v>41832.513447999998</v>
      </c>
      <c r="R21" s="193"/>
      <c r="S21" s="193"/>
      <c r="T21" s="193"/>
      <c r="U21" s="193">
        <f t="shared" si="7"/>
        <v>0</v>
      </c>
      <c r="V21" s="193"/>
      <c r="W21" s="193"/>
      <c r="X21" s="193"/>
      <c r="Y21" s="193"/>
      <c r="Z21" s="193"/>
      <c r="AA21" s="193"/>
      <c r="AB21" s="195">
        <f t="shared" si="3"/>
        <v>118.00103916708515</v>
      </c>
      <c r="AC21" s="195">
        <f>O21/D21%</f>
        <v>159.09791467463478</v>
      </c>
      <c r="AD21" s="195">
        <f t="shared" si="4"/>
        <v>102.79269080007863</v>
      </c>
      <c r="AE21" s="195"/>
    </row>
    <row r="22" spans="1:31" s="155" customFormat="1" ht="24.75" customHeight="1" x14ac:dyDescent="0.3">
      <c r="A22" s="191" t="s">
        <v>337</v>
      </c>
      <c r="B22" s="198" t="s">
        <v>338</v>
      </c>
      <c r="C22" s="193">
        <f t="shared" si="8"/>
        <v>216440</v>
      </c>
      <c r="D22" s="193"/>
      <c r="E22" s="193">
        <f t="shared" si="9"/>
        <v>215399</v>
      </c>
      <c r="F22" s="193">
        <v>211583</v>
      </c>
      <c r="G22" s="193"/>
      <c r="H22" s="193">
        <f>150+940+420+170+90+200+605+306+935</f>
        <v>3816</v>
      </c>
      <c r="I22" s="193"/>
      <c r="J22" s="193"/>
      <c r="K22" s="193">
        <f t="shared" si="6"/>
        <v>1041</v>
      </c>
      <c r="L22" s="193"/>
      <c r="M22" s="193">
        <v>1041</v>
      </c>
      <c r="N22" s="193">
        <f t="shared" si="10"/>
        <v>59967.881847999997</v>
      </c>
      <c r="O22" s="193"/>
      <c r="P22" s="194">
        <f t="shared" si="11"/>
        <v>59305.349996999998</v>
      </c>
      <c r="Q22" s="193">
        <f>59967.881848-662.531851</f>
        <v>59305.349996999998</v>
      </c>
      <c r="R22" s="193"/>
      <c r="S22" s="193"/>
      <c r="T22" s="193"/>
      <c r="U22" s="193">
        <f t="shared" si="7"/>
        <v>662.53185099999996</v>
      </c>
      <c r="V22" s="193"/>
      <c r="W22" s="193">
        <f>(94893000+293510851+274128000)/1000000</f>
        <v>662.53185099999996</v>
      </c>
      <c r="X22" s="193"/>
      <c r="Y22" s="193"/>
      <c r="Z22" s="193"/>
      <c r="AA22" s="193"/>
      <c r="AB22" s="195">
        <f t="shared" si="3"/>
        <v>27.706469159120307</v>
      </c>
      <c r="AC22" s="195"/>
      <c r="AD22" s="195">
        <f t="shared" si="4"/>
        <v>27.532787987409414</v>
      </c>
      <c r="AE22" s="195">
        <f>U22/K22%</f>
        <v>63.643789721421705</v>
      </c>
    </row>
    <row r="23" spans="1:31" s="155" customFormat="1" ht="24.75" customHeight="1" x14ac:dyDescent="0.3">
      <c r="A23" s="196" t="s">
        <v>339</v>
      </c>
      <c r="B23" s="198" t="s">
        <v>340</v>
      </c>
      <c r="C23" s="193">
        <f t="shared" si="8"/>
        <v>8692</v>
      </c>
      <c r="D23" s="193"/>
      <c r="E23" s="193">
        <f t="shared" si="9"/>
        <v>8692</v>
      </c>
      <c r="F23" s="193">
        <v>8504</v>
      </c>
      <c r="G23" s="193"/>
      <c r="H23" s="193">
        <f>150+38</f>
        <v>188</v>
      </c>
      <c r="I23" s="193"/>
      <c r="J23" s="193"/>
      <c r="K23" s="193">
        <f t="shared" si="6"/>
        <v>0</v>
      </c>
      <c r="L23" s="193"/>
      <c r="M23" s="193"/>
      <c r="N23" s="193">
        <f t="shared" si="10"/>
        <v>7939.5078000000003</v>
      </c>
      <c r="O23" s="193"/>
      <c r="P23" s="194">
        <f t="shared" si="11"/>
        <v>7939.5078000000003</v>
      </c>
      <c r="Q23" s="193">
        <v>7939.5078000000003</v>
      </c>
      <c r="R23" s="193"/>
      <c r="S23" s="193"/>
      <c r="T23" s="193"/>
      <c r="U23" s="193">
        <f t="shared" si="7"/>
        <v>0</v>
      </c>
      <c r="V23" s="193"/>
      <c r="W23" s="193"/>
      <c r="X23" s="193"/>
      <c r="Y23" s="193"/>
      <c r="Z23" s="193"/>
      <c r="AA23" s="193"/>
      <c r="AB23" s="195">
        <f t="shared" si="3"/>
        <v>91.342703635526917</v>
      </c>
      <c r="AC23" s="195"/>
      <c r="AD23" s="195">
        <f t="shared" si="4"/>
        <v>91.342703635526917</v>
      </c>
      <c r="AE23" s="195"/>
    </row>
    <row r="24" spans="1:31" s="155" customFormat="1" ht="34.5" customHeight="1" x14ac:dyDescent="0.3">
      <c r="A24" s="191" t="s">
        <v>341</v>
      </c>
      <c r="B24" s="198" t="s">
        <v>342</v>
      </c>
      <c r="C24" s="193">
        <f t="shared" si="8"/>
        <v>66679</v>
      </c>
      <c r="D24" s="193"/>
      <c r="E24" s="193">
        <f t="shared" si="9"/>
        <v>66679</v>
      </c>
      <c r="F24" s="193">
        <v>66679</v>
      </c>
      <c r="G24" s="193"/>
      <c r="H24" s="193"/>
      <c r="I24" s="193"/>
      <c r="J24" s="193"/>
      <c r="K24" s="193">
        <f t="shared" si="6"/>
        <v>0</v>
      </c>
      <c r="L24" s="193"/>
      <c r="M24" s="193"/>
      <c r="N24" s="193">
        <f t="shared" si="10"/>
        <v>82206.758376000013</v>
      </c>
      <c r="O24" s="193"/>
      <c r="P24" s="194">
        <f t="shared" si="11"/>
        <v>82206.758376000013</v>
      </c>
      <c r="Q24" s="193">
        <v>11165.839599999999</v>
      </c>
      <c r="R24" s="193">
        <v>71040.918776000006</v>
      </c>
      <c r="S24" s="193"/>
      <c r="T24" s="193"/>
      <c r="U24" s="193">
        <f t="shared" si="7"/>
        <v>0</v>
      </c>
      <c r="V24" s="193"/>
      <c r="W24" s="193"/>
      <c r="X24" s="193"/>
      <c r="Y24" s="193"/>
      <c r="Z24" s="193"/>
      <c r="AA24" s="193"/>
      <c r="AB24" s="195">
        <f t="shared" si="3"/>
        <v>123.28732940805953</v>
      </c>
      <c r="AC24" s="195"/>
      <c r="AD24" s="195">
        <f t="shared" si="4"/>
        <v>123.28732940805953</v>
      </c>
      <c r="AE24" s="195"/>
    </row>
    <row r="25" spans="1:31" s="155" customFormat="1" ht="24.75" customHeight="1" x14ac:dyDescent="0.3">
      <c r="A25" s="196" t="s">
        <v>343</v>
      </c>
      <c r="B25" s="198" t="s">
        <v>344</v>
      </c>
      <c r="C25" s="193">
        <f t="shared" si="8"/>
        <v>29105</v>
      </c>
      <c r="D25" s="193">
        <v>10000</v>
      </c>
      <c r="E25" s="193">
        <f t="shared" si="9"/>
        <v>19105</v>
      </c>
      <c r="F25" s="193">
        <v>19105</v>
      </c>
      <c r="G25" s="193"/>
      <c r="H25" s="193"/>
      <c r="I25" s="193"/>
      <c r="J25" s="193"/>
      <c r="K25" s="193">
        <f t="shared" si="6"/>
        <v>0</v>
      </c>
      <c r="L25" s="193"/>
      <c r="M25" s="193"/>
      <c r="N25" s="193">
        <f t="shared" si="10"/>
        <v>19298.861631</v>
      </c>
      <c r="O25" s="193">
        <v>4426.9546970000001</v>
      </c>
      <c r="P25" s="194">
        <f t="shared" si="11"/>
        <v>14871.906934000001</v>
      </c>
      <c r="Q25" s="193">
        <v>14471.906934000001</v>
      </c>
      <c r="R25" s="193">
        <v>400</v>
      </c>
      <c r="S25" s="193"/>
      <c r="T25" s="193"/>
      <c r="U25" s="193">
        <f t="shared" si="7"/>
        <v>0</v>
      </c>
      <c r="V25" s="193"/>
      <c r="W25" s="193"/>
      <c r="X25" s="193"/>
      <c r="Y25" s="193"/>
      <c r="Z25" s="193"/>
      <c r="AA25" s="193"/>
      <c r="AB25" s="195">
        <f t="shared" si="3"/>
        <v>66.307719055145157</v>
      </c>
      <c r="AC25" s="195">
        <f>O25/D25%</f>
        <v>44.26954697</v>
      </c>
      <c r="AD25" s="195">
        <f t="shared" si="4"/>
        <v>77.84300933786966</v>
      </c>
      <c r="AE25" s="195"/>
    </row>
    <row r="26" spans="1:31" s="155" customFormat="1" ht="24.75" customHeight="1" x14ac:dyDescent="0.3">
      <c r="A26" s="191" t="s">
        <v>345</v>
      </c>
      <c r="B26" s="198" t="s">
        <v>346</v>
      </c>
      <c r="C26" s="193">
        <f t="shared" si="8"/>
        <v>11109</v>
      </c>
      <c r="D26" s="193"/>
      <c r="E26" s="193">
        <f t="shared" si="9"/>
        <v>10609</v>
      </c>
      <c r="F26" s="193">
        <v>10483</v>
      </c>
      <c r="G26" s="193"/>
      <c r="H26" s="193">
        <v>126</v>
      </c>
      <c r="I26" s="193"/>
      <c r="J26" s="193"/>
      <c r="K26" s="193">
        <f t="shared" si="6"/>
        <v>500</v>
      </c>
      <c r="L26" s="193"/>
      <c r="M26" s="193">
        <v>500</v>
      </c>
      <c r="N26" s="193">
        <f t="shared" si="10"/>
        <v>10815.034</v>
      </c>
      <c r="O26" s="193"/>
      <c r="P26" s="194">
        <f t="shared" si="11"/>
        <v>10315.034</v>
      </c>
      <c r="Q26" s="193">
        <f>10815.034-500</f>
        <v>10315.034</v>
      </c>
      <c r="R26" s="193"/>
      <c r="S26" s="193"/>
      <c r="T26" s="193"/>
      <c r="U26" s="193">
        <f t="shared" si="7"/>
        <v>500</v>
      </c>
      <c r="V26" s="193"/>
      <c r="W26" s="193">
        <v>500</v>
      </c>
      <c r="X26" s="193"/>
      <c r="Y26" s="193"/>
      <c r="Z26" s="193"/>
      <c r="AA26" s="193"/>
      <c r="AB26" s="195">
        <f t="shared" si="3"/>
        <v>97.353803222612285</v>
      </c>
      <c r="AC26" s="195"/>
      <c r="AD26" s="195">
        <f t="shared" si="4"/>
        <v>97.229088509755854</v>
      </c>
      <c r="AE26" s="195">
        <f>U26/K26%</f>
        <v>100</v>
      </c>
    </row>
    <row r="27" spans="1:31" s="155" customFormat="1" ht="24.75" customHeight="1" x14ac:dyDescent="0.3">
      <c r="A27" s="196" t="s">
        <v>347</v>
      </c>
      <c r="B27" s="198" t="s">
        <v>348</v>
      </c>
      <c r="C27" s="193">
        <f t="shared" si="8"/>
        <v>8469</v>
      </c>
      <c r="D27" s="193"/>
      <c r="E27" s="193">
        <f t="shared" si="9"/>
        <v>8155</v>
      </c>
      <c r="F27" s="193">
        <v>8117</v>
      </c>
      <c r="G27" s="193"/>
      <c r="H27" s="193">
        <v>38</v>
      </c>
      <c r="I27" s="193"/>
      <c r="J27" s="193"/>
      <c r="K27" s="193">
        <f t="shared" si="6"/>
        <v>314</v>
      </c>
      <c r="L27" s="193"/>
      <c r="M27" s="193">
        <v>314</v>
      </c>
      <c r="N27" s="193">
        <f t="shared" si="10"/>
        <v>7243.653491</v>
      </c>
      <c r="O27" s="193"/>
      <c r="P27" s="194">
        <f t="shared" si="11"/>
        <v>6967.0355909999998</v>
      </c>
      <c r="Q27" s="193">
        <f>7243.653491-276.6179</f>
        <v>6967.0355909999998</v>
      </c>
      <c r="R27" s="193"/>
      <c r="S27" s="193"/>
      <c r="T27" s="193"/>
      <c r="U27" s="193">
        <f t="shared" si="7"/>
        <v>276.61790000000002</v>
      </c>
      <c r="V27" s="193"/>
      <c r="W27" s="193">
        <v>276.61790000000002</v>
      </c>
      <c r="X27" s="193"/>
      <c r="Y27" s="193"/>
      <c r="Z27" s="193"/>
      <c r="AA27" s="193"/>
      <c r="AB27" s="195">
        <f t="shared" si="3"/>
        <v>85.531390848978631</v>
      </c>
      <c r="AC27" s="195"/>
      <c r="AD27" s="195">
        <f t="shared" si="4"/>
        <v>85.432686584917235</v>
      </c>
      <c r="AE27" s="195">
        <f>U27/K27%</f>
        <v>88.094872611464965</v>
      </c>
    </row>
    <row r="28" spans="1:31" s="155" customFormat="1" ht="24.75" customHeight="1" x14ac:dyDescent="0.3">
      <c r="A28" s="191" t="s">
        <v>349</v>
      </c>
      <c r="B28" s="198" t="s">
        <v>350</v>
      </c>
      <c r="C28" s="193">
        <f t="shared" si="8"/>
        <v>134538.71400000001</v>
      </c>
      <c r="D28" s="193">
        <v>117969.71400000001</v>
      </c>
      <c r="E28" s="193">
        <f t="shared" si="9"/>
        <v>16569</v>
      </c>
      <c r="F28" s="193">
        <v>16569</v>
      </c>
      <c r="G28" s="193"/>
      <c r="H28" s="193"/>
      <c r="I28" s="193"/>
      <c r="J28" s="193"/>
      <c r="K28" s="193">
        <f t="shared" si="6"/>
        <v>0</v>
      </c>
      <c r="L28" s="193"/>
      <c r="M28" s="193"/>
      <c r="N28" s="193">
        <f t="shared" si="10"/>
        <v>149102.15895499999</v>
      </c>
      <c r="O28" s="193">
        <v>131684.06603399999</v>
      </c>
      <c r="P28" s="194">
        <f t="shared" si="11"/>
        <v>17418.092921000003</v>
      </c>
      <c r="Q28" s="193">
        <f>9734.275448+1466.521473+6217.296</f>
        <v>17418.092921000003</v>
      </c>
      <c r="R28" s="193"/>
      <c r="S28" s="193"/>
      <c r="T28" s="193"/>
      <c r="U28" s="193">
        <f t="shared" si="7"/>
        <v>0</v>
      </c>
      <c r="V28" s="193"/>
      <c r="W28" s="193"/>
      <c r="X28" s="193"/>
      <c r="Y28" s="193"/>
      <c r="Z28" s="193"/>
      <c r="AA28" s="193"/>
      <c r="AB28" s="195">
        <f t="shared" si="3"/>
        <v>110.82472436521132</v>
      </c>
      <c r="AC28" s="195">
        <f>O28/D28%</f>
        <v>111.62531599762968</v>
      </c>
      <c r="AD28" s="195">
        <f t="shared" si="4"/>
        <v>105.12458760939106</v>
      </c>
      <c r="AE28" s="195"/>
    </row>
    <row r="29" spans="1:31" s="155" customFormat="1" ht="24.75" customHeight="1" x14ac:dyDescent="0.3">
      <c r="A29" s="196" t="s">
        <v>351</v>
      </c>
      <c r="B29" s="198" t="s">
        <v>352</v>
      </c>
      <c r="C29" s="193">
        <f t="shared" si="8"/>
        <v>17130</v>
      </c>
      <c r="D29" s="193"/>
      <c r="E29" s="193">
        <f t="shared" si="9"/>
        <v>17130</v>
      </c>
      <c r="F29" s="193">
        <v>14372</v>
      </c>
      <c r="G29" s="193"/>
      <c r="H29" s="193">
        <f>958+1800</f>
        <v>2758</v>
      </c>
      <c r="I29" s="193"/>
      <c r="J29" s="193"/>
      <c r="K29" s="193">
        <f t="shared" si="6"/>
        <v>0</v>
      </c>
      <c r="L29" s="193"/>
      <c r="M29" s="193"/>
      <c r="N29" s="193">
        <f t="shared" si="10"/>
        <v>19969.91302</v>
      </c>
      <c r="O29" s="193"/>
      <c r="P29" s="194">
        <f t="shared" si="11"/>
        <v>19969.91302</v>
      </c>
      <c r="Q29" s="194">
        <v>19969.91302</v>
      </c>
      <c r="R29" s="193"/>
      <c r="S29" s="193"/>
      <c r="T29" s="193"/>
      <c r="U29" s="193">
        <f t="shared" si="7"/>
        <v>0</v>
      </c>
      <c r="V29" s="193"/>
      <c r="W29" s="193"/>
      <c r="X29" s="193"/>
      <c r="Y29" s="193"/>
      <c r="Z29" s="193"/>
      <c r="AA29" s="193"/>
      <c r="AB29" s="195">
        <f t="shared" si="3"/>
        <v>116.57859322825452</v>
      </c>
      <c r="AC29" s="195"/>
      <c r="AD29" s="195">
        <f t="shared" si="4"/>
        <v>116.57859322825452</v>
      </c>
      <c r="AE29" s="195"/>
    </row>
    <row r="30" spans="1:31" s="155" customFormat="1" ht="24.75" customHeight="1" x14ac:dyDescent="0.3">
      <c r="A30" s="191" t="s">
        <v>353</v>
      </c>
      <c r="B30" s="198" t="s">
        <v>354</v>
      </c>
      <c r="C30" s="193">
        <f t="shared" si="8"/>
        <v>24681</v>
      </c>
      <c r="D30" s="193">
        <v>9080</v>
      </c>
      <c r="E30" s="193">
        <f t="shared" si="9"/>
        <v>15601</v>
      </c>
      <c r="F30" s="193">
        <v>15556</v>
      </c>
      <c r="G30" s="193"/>
      <c r="H30" s="193">
        <v>45</v>
      </c>
      <c r="I30" s="193"/>
      <c r="J30" s="193"/>
      <c r="K30" s="193">
        <f t="shared" si="6"/>
        <v>0</v>
      </c>
      <c r="L30" s="193"/>
      <c r="M30" s="193"/>
      <c r="N30" s="193">
        <f t="shared" si="10"/>
        <v>23979.656999999999</v>
      </c>
      <c r="O30" s="193">
        <v>8217.8590000000004</v>
      </c>
      <c r="P30" s="194">
        <f t="shared" si="11"/>
        <v>15761.798000000001</v>
      </c>
      <c r="Q30" s="193">
        <v>15761.798000000001</v>
      </c>
      <c r="R30" s="193"/>
      <c r="S30" s="193"/>
      <c r="T30" s="193"/>
      <c r="U30" s="193">
        <f t="shared" si="7"/>
        <v>0</v>
      </c>
      <c r="V30" s="193"/>
      <c r="W30" s="193"/>
      <c r="X30" s="193"/>
      <c r="Y30" s="193"/>
      <c r="Z30" s="193"/>
      <c r="AA30" s="193"/>
      <c r="AB30" s="195">
        <f t="shared" si="3"/>
        <v>97.158368785705605</v>
      </c>
      <c r="AC30" s="195">
        <f>O30/D30%</f>
        <v>90.505055066079308</v>
      </c>
      <c r="AD30" s="195">
        <f t="shared" si="4"/>
        <v>101.03069034036281</v>
      </c>
      <c r="AE30" s="195"/>
    </row>
    <row r="31" spans="1:31" s="155" customFormat="1" ht="24.75" customHeight="1" x14ac:dyDescent="0.3">
      <c r="A31" s="196" t="s">
        <v>355</v>
      </c>
      <c r="B31" s="198" t="s">
        <v>137</v>
      </c>
      <c r="C31" s="193">
        <f t="shared" si="8"/>
        <v>139774</v>
      </c>
      <c r="D31" s="193">
        <v>126755</v>
      </c>
      <c r="E31" s="193">
        <f t="shared" si="9"/>
        <v>9602</v>
      </c>
      <c r="F31" s="193">
        <v>6838</v>
      </c>
      <c r="G31" s="193"/>
      <c r="H31" s="193">
        <f>330+280+542+1612</f>
        <v>2764</v>
      </c>
      <c r="I31" s="193"/>
      <c r="J31" s="193"/>
      <c r="K31" s="193">
        <f t="shared" si="6"/>
        <v>3417</v>
      </c>
      <c r="L31" s="193"/>
      <c r="M31" s="193">
        <v>3417</v>
      </c>
      <c r="N31" s="193">
        <f t="shared" si="10"/>
        <v>48046.4689</v>
      </c>
      <c r="O31" s="193">
        <v>34801.029900000001</v>
      </c>
      <c r="P31" s="194">
        <f t="shared" si="11"/>
        <v>9828.0390000000007</v>
      </c>
      <c r="Q31" s="193">
        <f>13245.039-3417</f>
        <v>9828.0390000000007</v>
      </c>
      <c r="R31" s="193"/>
      <c r="S31" s="193"/>
      <c r="T31" s="193"/>
      <c r="U31" s="193">
        <f t="shared" si="7"/>
        <v>3417.4</v>
      </c>
      <c r="V31" s="193"/>
      <c r="W31" s="193">
        <f>3417.4</f>
        <v>3417.4</v>
      </c>
      <c r="X31" s="193"/>
      <c r="Y31" s="193"/>
      <c r="Z31" s="193"/>
      <c r="AA31" s="193"/>
      <c r="AB31" s="195">
        <f t="shared" si="3"/>
        <v>34.374396454276187</v>
      </c>
      <c r="AC31" s="195">
        <f>O31/D31%</f>
        <v>27.455350794840442</v>
      </c>
      <c r="AD31" s="195">
        <f t="shared" si="4"/>
        <v>102.3540824828161</v>
      </c>
      <c r="AE31" s="195">
        <f>U31/K31%</f>
        <v>100.01170617500732</v>
      </c>
    </row>
    <row r="32" spans="1:31" s="155" customFormat="1" ht="24.75" customHeight="1" x14ac:dyDescent="0.3">
      <c r="A32" s="191" t="s">
        <v>356</v>
      </c>
      <c r="B32" s="198" t="s">
        <v>357</v>
      </c>
      <c r="C32" s="193">
        <f t="shared" si="8"/>
        <v>8332</v>
      </c>
      <c r="D32" s="193"/>
      <c r="E32" s="193">
        <f t="shared" si="9"/>
        <v>8332</v>
      </c>
      <c r="F32" s="193">
        <v>8332</v>
      </c>
      <c r="G32" s="193"/>
      <c r="H32" s="193"/>
      <c r="I32" s="193"/>
      <c r="J32" s="193"/>
      <c r="K32" s="193">
        <f t="shared" si="6"/>
        <v>0</v>
      </c>
      <c r="L32" s="193"/>
      <c r="M32" s="193"/>
      <c r="N32" s="193">
        <f t="shared" si="10"/>
        <v>55017.512741999999</v>
      </c>
      <c r="O32" s="193">
        <v>2066.4539999999997</v>
      </c>
      <c r="P32" s="194">
        <f t="shared" si="11"/>
        <v>52951.058742000001</v>
      </c>
      <c r="Q32" s="193">
        <v>52951.058742000001</v>
      </c>
      <c r="R32" s="193"/>
      <c r="S32" s="193"/>
      <c r="T32" s="193"/>
      <c r="U32" s="193">
        <f t="shared" si="7"/>
        <v>0</v>
      </c>
      <c r="V32" s="193"/>
      <c r="W32" s="193"/>
      <c r="X32" s="193"/>
      <c r="Y32" s="193"/>
      <c r="Z32" s="193"/>
      <c r="AA32" s="193"/>
      <c r="AB32" s="195">
        <f t="shared" si="3"/>
        <v>660.31580343254927</v>
      </c>
      <c r="AC32" s="195"/>
      <c r="AD32" s="195">
        <f t="shared" si="4"/>
        <v>635.51438720595297</v>
      </c>
      <c r="AE32" s="195"/>
    </row>
    <row r="33" spans="1:31" s="155" customFormat="1" ht="24.75" customHeight="1" x14ac:dyDescent="0.3">
      <c r="A33" s="196" t="s">
        <v>358</v>
      </c>
      <c r="B33" s="198" t="s">
        <v>359</v>
      </c>
      <c r="C33" s="193">
        <f t="shared" si="8"/>
        <v>6939</v>
      </c>
      <c r="D33" s="193"/>
      <c r="E33" s="193">
        <f t="shared" si="9"/>
        <v>6939</v>
      </c>
      <c r="F33" s="193">
        <v>6939</v>
      </c>
      <c r="G33" s="193"/>
      <c r="H33" s="193"/>
      <c r="I33" s="193"/>
      <c r="J33" s="193"/>
      <c r="K33" s="193">
        <f t="shared" si="6"/>
        <v>0</v>
      </c>
      <c r="L33" s="193"/>
      <c r="M33" s="193"/>
      <c r="N33" s="193">
        <f t="shared" si="10"/>
        <v>7730.8980979999997</v>
      </c>
      <c r="O33" s="193"/>
      <c r="P33" s="194">
        <f t="shared" si="11"/>
        <v>7730.8980979999997</v>
      </c>
      <c r="Q33" s="193">
        <v>7730.8980979999997</v>
      </c>
      <c r="R33" s="193"/>
      <c r="S33" s="193"/>
      <c r="T33" s="193"/>
      <c r="U33" s="193">
        <f t="shared" si="7"/>
        <v>0</v>
      </c>
      <c r="V33" s="193"/>
      <c r="W33" s="193"/>
      <c r="X33" s="193"/>
      <c r="Y33" s="193"/>
      <c r="Z33" s="193"/>
      <c r="AA33" s="193"/>
      <c r="AB33" s="195">
        <f t="shared" si="3"/>
        <v>111.41227983859345</v>
      </c>
      <c r="AC33" s="195"/>
      <c r="AD33" s="195">
        <f t="shared" si="4"/>
        <v>111.41227983859345</v>
      </c>
      <c r="AE33" s="195"/>
    </row>
    <row r="34" spans="1:31" s="155" customFormat="1" ht="24.75" customHeight="1" x14ac:dyDescent="0.3">
      <c r="A34" s="191" t="s">
        <v>360</v>
      </c>
      <c r="B34" s="198" t="s">
        <v>361</v>
      </c>
      <c r="C34" s="193">
        <f t="shared" si="8"/>
        <v>12980</v>
      </c>
      <c r="D34" s="193"/>
      <c r="E34" s="193">
        <f t="shared" si="9"/>
        <v>12980</v>
      </c>
      <c r="F34" s="193">
        <v>12980</v>
      </c>
      <c r="G34" s="193"/>
      <c r="H34" s="193"/>
      <c r="I34" s="193"/>
      <c r="J34" s="193"/>
      <c r="K34" s="193">
        <f t="shared" si="6"/>
        <v>0</v>
      </c>
      <c r="L34" s="193"/>
      <c r="M34" s="193"/>
      <c r="N34" s="193">
        <f t="shared" si="10"/>
        <v>15486.457733000001</v>
      </c>
      <c r="O34" s="193">
        <v>3196.7249999999999</v>
      </c>
      <c r="P34" s="194">
        <f t="shared" si="11"/>
        <v>12289.732733000001</v>
      </c>
      <c r="Q34" s="193">
        <f>12289.732733</f>
        <v>12289.732733000001</v>
      </c>
      <c r="R34" s="193"/>
      <c r="S34" s="193"/>
      <c r="T34" s="193"/>
      <c r="U34" s="193">
        <f t="shared" si="7"/>
        <v>0</v>
      </c>
      <c r="V34" s="193"/>
      <c r="W34" s="193"/>
      <c r="X34" s="193"/>
      <c r="Y34" s="193"/>
      <c r="Z34" s="193"/>
      <c r="AA34" s="193"/>
      <c r="AB34" s="195">
        <f t="shared" si="3"/>
        <v>119.31015202619415</v>
      </c>
      <c r="AC34" s="195"/>
      <c r="AD34" s="195">
        <f t="shared" si="4"/>
        <v>94.68207036209553</v>
      </c>
      <c r="AE34" s="195"/>
    </row>
    <row r="35" spans="1:31" s="155" customFormat="1" ht="24.75" customHeight="1" x14ac:dyDescent="0.3">
      <c r="A35" s="196" t="s">
        <v>362</v>
      </c>
      <c r="B35" s="198" t="s">
        <v>363</v>
      </c>
      <c r="C35" s="193">
        <f t="shared" si="8"/>
        <v>300</v>
      </c>
      <c r="D35" s="193"/>
      <c r="E35" s="193">
        <f t="shared" si="9"/>
        <v>300</v>
      </c>
      <c r="F35" s="193">
        <v>300</v>
      </c>
      <c r="G35" s="193"/>
      <c r="H35" s="193"/>
      <c r="I35" s="193"/>
      <c r="J35" s="193"/>
      <c r="K35" s="193">
        <f t="shared" si="6"/>
        <v>0</v>
      </c>
      <c r="L35" s="193"/>
      <c r="M35" s="193"/>
      <c r="N35" s="193">
        <f t="shared" si="10"/>
        <v>275</v>
      </c>
      <c r="O35" s="193"/>
      <c r="P35" s="194">
        <f t="shared" si="11"/>
        <v>275</v>
      </c>
      <c r="Q35" s="193">
        <v>275</v>
      </c>
      <c r="R35" s="193"/>
      <c r="S35" s="193"/>
      <c r="T35" s="193"/>
      <c r="U35" s="193">
        <f t="shared" si="7"/>
        <v>0</v>
      </c>
      <c r="V35" s="193"/>
      <c r="W35" s="193"/>
      <c r="X35" s="193"/>
      <c r="Y35" s="193"/>
      <c r="Z35" s="193"/>
      <c r="AA35" s="193"/>
      <c r="AB35" s="195">
        <f t="shared" si="3"/>
        <v>91.666666666666671</v>
      </c>
      <c r="AC35" s="195"/>
      <c r="AD35" s="195">
        <f t="shared" si="4"/>
        <v>91.666666666666671</v>
      </c>
      <c r="AE35" s="195"/>
    </row>
    <row r="36" spans="1:31" s="155" customFormat="1" ht="24.75" customHeight="1" x14ac:dyDescent="0.3">
      <c r="A36" s="191" t="s">
        <v>364</v>
      </c>
      <c r="B36" s="198" t="s">
        <v>365</v>
      </c>
      <c r="C36" s="193">
        <f t="shared" si="8"/>
        <v>55096.955000000002</v>
      </c>
      <c r="D36" s="193">
        <v>43090.955000000002</v>
      </c>
      <c r="E36" s="193">
        <f t="shared" si="9"/>
        <v>12006</v>
      </c>
      <c r="F36" s="193">
        <v>12006</v>
      </c>
      <c r="G36" s="193"/>
      <c r="H36" s="193"/>
      <c r="I36" s="193"/>
      <c r="J36" s="193"/>
      <c r="K36" s="193">
        <f t="shared" si="6"/>
        <v>0</v>
      </c>
      <c r="L36" s="193"/>
      <c r="M36" s="193"/>
      <c r="N36" s="193">
        <f t="shared" si="10"/>
        <v>33215.872761999999</v>
      </c>
      <c r="O36" s="193">
        <v>20612.71357</v>
      </c>
      <c r="P36" s="194">
        <f t="shared" si="11"/>
        <v>12603.159191999999</v>
      </c>
      <c r="Q36" s="193">
        <v>12603.159191999999</v>
      </c>
      <c r="R36" s="193"/>
      <c r="S36" s="193"/>
      <c r="T36" s="193"/>
      <c r="U36" s="193"/>
      <c r="V36" s="193"/>
      <c r="W36" s="193"/>
      <c r="X36" s="193"/>
      <c r="Y36" s="193"/>
      <c r="Z36" s="193"/>
      <c r="AA36" s="193"/>
      <c r="AB36" s="195">
        <f t="shared" si="3"/>
        <v>60.28622228215697</v>
      </c>
      <c r="AC36" s="195">
        <f>O36/D36%</f>
        <v>47.835360274563421</v>
      </c>
      <c r="AD36" s="195">
        <f t="shared" si="4"/>
        <v>104.97383968015991</v>
      </c>
      <c r="AE36" s="195"/>
    </row>
    <row r="37" spans="1:31" s="155" customFormat="1" ht="24.75" customHeight="1" x14ac:dyDescent="0.3">
      <c r="A37" s="196" t="s">
        <v>366</v>
      </c>
      <c r="B37" s="198" t="s">
        <v>367</v>
      </c>
      <c r="C37" s="193">
        <f t="shared" si="8"/>
        <v>9777</v>
      </c>
      <c r="D37" s="193"/>
      <c r="E37" s="193">
        <f t="shared" si="9"/>
        <v>9777</v>
      </c>
      <c r="F37" s="193">
        <v>9777</v>
      </c>
      <c r="G37" s="193"/>
      <c r="H37" s="193"/>
      <c r="I37" s="193"/>
      <c r="J37" s="193"/>
      <c r="K37" s="193">
        <f t="shared" si="6"/>
        <v>0</v>
      </c>
      <c r="L37" s="193"/>
      <c r="M37" s="193"/>
      <c r="N37" s="193">
        <f t="shared" si="10"/>
        <v>10383.138717</v>
      </c>
      <c r="O37" s="193"/>
      <c r="P37" s="194">
        <f t="shared" si="11"/>
        <v>10383.138717</v>
      </c>
      <c r="Q37" s="193">
        <v>10383.138717</v>
      </c>
      <c r="R37" s="193"/>
      <c r="S37" s="193"/>
      <c r="T37" s="193"/>
      <c r="U37" s="193">
        <f>V37+W37</f>
        <v>0</v>
      </c>
      <c r="V37" s="193"/>
      <c r="W37" s="193"/>
      <c r="X37" s="193"/>
      <c r="Y37" s="193"/>
      <c r="Z37" s="193"/>
      <c r="AA37" s="193"/>
      <c r="AB37" s="195">
        <f t="shared" si="3"/>
        <v>106.1996391224302</v>
      </c>
      <c r="AC37" s="195"/>
      <c r="AD37" s="195">
        <f t="shared" si="4"/>
        <v>106.1996391224302</v>
      </c>
      <c r="AE37" s="195"/>
    </row>
    <row r="38" spans="1:31" s="155" customFormat="1" ht="24.75" customHeight="1" x14ac:dyDescent="0.3">
      <c r="A38" s="191" t="s">
        <v>368</v>
      </c>
      <c r="B38" s="198" t="s">
        <v>369</v>
      </c>
      <c r="C38" s="193">
        <f t="shared" si="8"/>
        <v>24408.808000000001</v>
      </c>
      <c r="D38" s="193">
        <v>1654.808</v>
      </c>
      <c r="E38" s="193">
        <f t="shared" si="9"/>
        <v>22754</v>
      </c>
      <c r="F38" s="193">
        <v>22754</v>
      </c>
      <c r="G38" s="193"/>
      <c r="H38" s="193"/>
      <c r="I38" s="193"/>
      <c r="J38" s="193"/>
      <c r="K38" s="193">
        <f t="shared" si="6"/>
        <v>0</v>
      </c>
      <c r="L38" s="193"/>
      <c r="M38" s="193"/>
      <c r="N38" s="193">
        <f t="shared" si="10"/>
        <v>31240.717065000001</v>
      </c>
      <c r="O38" s="193">
        <v>8547.8487339999992</v>
      </c>
      <c r="P38" s="194">
        <f t="shared" si="11"/>
        <v>22692.868331000001</v>
      </c>
      <c r="Q38" s="193">
        <v>22692.868331000001</v>
      </c>
      <c r="R38" s="193"/>
      <c r="S38" s="193"/>
      <c r="T38" s="193"/>
      <c r="U38" s="193">
        <f>V38+W38</f>
        <v>0</v>
      </c>
      <c r="V38" s="193"/>
      <c r="W38" s="193"/>
      <c r="X38" s="193"/>
      <c r="Y38" s="193"/>
      <c r="Z38" s="193"/>
      <c r="AA38" s="193"/>
      <c r="AB38" s="195">
        <f t="shared" si="3"/>
        <v>127.98952355641454</v>
      </c>
      <c r="AC38" s="195">
        <f>O38/D38%</f>
        <v>516.54625394607717</v>
      </c>
      <c r="AD38" s="195">
        <f t="shared" si="4"/>
        <v>99.73133660455305</v>
      </c>
      <c r="AE38" s="195"/>
    </row>
    <row r="39" spans="1:31" s="155" customFormat="1" ht="24.75" customHeight="1" x14ac:dyDescent="0.3">
      <c r="A39" s="196" t="s">
        <v>370</v>
      </c>
      <c r="B39" s="198" t="s">
        <v>371</v>
      </c>
      <c r="C39" s="193">
        <f t="shared" si="8"/>
        <v>2631</v>
      </c>
      <c r="D39" s="193"/>
      <c r="E39" s="193">
        <f t="shared" si="9"/>
        <v>2631</v>
      </c>
      <c r="F39" s="193">
        <v>2631</v>
      </c>
      <c r="G39" s="193"/>
      <c r="H39" s="193"/>
      <c r="I39" s="193"/>
      <c r="J39" s="193"/>
      <c r="K39" s="193">
        <f t="shared" si="6"/>
        <v>0</v>
      </c>
      <c r="L39" s="193"/>
      <c r="M39" s="193"/>
      <c r="N39" s="193">
        <f t="shared" si="10"/>
        <v>2317.8087879999998</v>
      </c>
      <c r="O39" s="193"/>
      <c r="P39" s="194">
        <f t="shared" si="11"/>
        <v>2317.8087879999998</v>
      </c>
      <c r="Q39" s="193">
        <v>2317.8087879999998</v>
      </c>
      <c r="R39" s="193"/>
      <c r="S39" s="193"/>
      <c r="T39" s="193"/>
      <c r="U39" s="193">
        <f>V39+W39</f>
        <v>0</v>
      </c>
      <c r="V39" s="193"/>
      <c r="W39" s="193"/>
      <c r="X39" s="193"/>
      <c r="Y39" s="193"/>
      <c r="Z39" s="193"/>
      <c r="AA39" s="193"/>
      <c r="AB39" s="195">
        <f t="shared" si="3"/>
        <v>88.096115089319653</v>
      </c>
      <c r="AC39" s="195"/>
      <c r="AD39" s="195">
        <f t="shared" si="4"/>
        <v>88.096115089319653</v>
      </c>
      <c r="AE39" s="195"/>
    </row>
    <row r="40" spans="1:31" s="155" customFormat="1" ht="24.75" customHeight="1" x14ac:dyDescent="0.3">
      <c r="A40" s="191" t="s">
        <v>372</v>
      </c>
      <c r="B40" s="198" t="s">
        <v>373</v>
      </c>
      <c r="C40" s="193">
        <f t="shared" si="8"/>
        <v>4878</v>
      </c>
      <c r="D40" s="193"/>
      <c r="E40" s="193">
        <f t="shared" si="9"/>
        <v>4528</v>
      </c>
      <c r="F40" s="193">
        <v>4528</v>
      </c>
      <c r="G40" s="193"/>
      <c r="H40" s="193"/>
      <c r="I40" s="193"/>
      <c r="J40" s="193"/>
      <c r="K40" s="193">
        <f t="shared" si="6"/>
        <v>350</v>
      </c>
      <c r="L40" s="193"/>
      <c r="M40" s="193">
        <v>350</v>
      </c>
      <c r="N40" s="193">
        <f t="shared" si="10"/>
        <v>5406.0748880000001</v>
      </c>
      <c r="O40" s="193"/>
      <c r="P40" s="194">
        <f t="shared" si="11"/>
        <v>5115.426888</v>
      </c>
      <c r="Q40" s="193">
        <f>4406.074888-290.648</f>
        <v>4115.426888</v>
      </c>
      <c r="R40" s="193">
        <v>1000</v>
      </c>
      <c r="S40" s="193"/>
      <c r="T40" s="193"/>
      <c r="U40" s="193">
        <f t="shared" ref="U40:U89" si="12">V40+W40</f>
        <v>290.64800000000002</v>
      </c>
      <c r="V40" s="193"/>
      <c r="W40" s="193">
        <v>290.64800000000002</v>
      </c>
      <c r="X40" s="193"/>
      <c r="Y40" s="193"/>
      <c r="Z40" s="193"/>
      <c r="AA40" s="193"/>
      <c r="AB40" s="195">
        <f t="shared" si="3"/>
        <v>110.82564346043461</v>
      </c>
      <c r="AC40" s="195"/>
      <c r="AD40" s="195">
        <f t="shared" si="4"/>
        <v>112.97320865724382</v>
      </c>
      <c r="AE40" s="195">
        <f>U40/K40%</f>
        <v>83.042285714285725</v>
      </c>
    </row>
    <row r="41" spans="1:31" s="155" customFormat="1" ht="24.75" customHeight="1" x14ac:dyDescent="0.3">
      <c r="A41" s="196" t="s">
        <v>374</v>
      </c>
      <c r="B41" s="198" t="s">
        <v>375</v>
      </c>
      <c r="C41" s="193">
        <f t="shared" si="8"/>
        <v>7000</v>
      </c>
      <c r="D41" s="193"/>
      <c r="E41" s="193">
        <f t="shared" si="9"/>
        <v>6800</v>
      </c>
      <c r="F41" s="193">
        <v>6762</v>
      </c>
      <c r="G41" s="193"/>
      <c r="H41" s="193">
        <v>38</v>
      </c>
      <c r="I41" s="193"/>
      <c r="J41" s="193"/>
      <c r="K41" s="193">
        <f t="shared" si="6"/>
        <v>200</v>
      </c>
      <c r="L41" s="193"/>
      <c r="M41" s="193">
        <v>200</v>
      </c>
      <c r="N41" s="193">
        <f t="shared" si="10"/>
        <v>6719.3927089999997</v>
      </c>
      <c r="O41" s="193"/>
      <c r="P41" s="194">
        <f t="shared" si="11"/>
        <v>6519.4587089999995</v>
      </c>
      <c r="Q41" s="193">
        <f>6719.392709-199.934</f>
        <v>6519.4587089999995</v>
      </c>
      <c r="R41" s="193"/>
      <c r="S41" s="193"/>
      <c r="T41" s="193"/>
      <c r="U41" s="193">
        <f t="shared" si="12"/>
        <v>199.934</v>
      </c>
      <c r="V41" s="193"/>
      <c r="W41" s="193">
        <v>199.934</v>
      </c>
      <c r="X41" s="193"/>
      <c r="Y41" s="193"/>
      <c r="Z41" s="193"/>
      <c r="AA41" s="193"/>
      <c r="AB41" s="195">
        <f t="shared" si="3"/>
        <v>95.991324414285714</v>
      </c>
      <c r="AC41" s="195"/>
      <c r="AD41" s="195">
        <f t="shared" si="4"/>
        <v>95.874392779411764</v>
      </c>
      <c r="AE41" s="195">
        <f>U41/K41%</f>
        <v>99.966999999999999</v>
      </c>
    </row>
    <row r="42" spans="1:31" s="155" customFormat="1" ht="24.75" customHeight="1" x14ac:dyDescent="0.3">
      <c r="A42" s="191" t="s">
        <v>376</v>
      </c>
      <c r="B42" s="198" t="s">
        <v>377</v>
      </c>
      <c r="C42" s="193">
        <f t="shared" si="8"/>
        <v>6982</v>
      </c>
      <c r="D42" s="193"/>
      <c r="E42" s="193">
        <f t="shared" si="9"/>
        <v>6622</v>
      </c>
      <c r="F42" s="193">
        <v>6374</v>
      </c>
      <c r="G42" s="193"/>
      <c r="H42" s="193">
        <v>248</v>
      </c>
      <c r="I42" s="193"/>
      <c r="J42" s="193"/>
      <c r="K42" s="193">
        <f t="shared" si="6"/>
        <v>360</v>
      </c>
      <c r="L42" s="193"/>
      <c r="M42" s="193">
        <v>360</v>
      </c>
      <c r="N42" s="193">
        <f t="shared" si="10"/>
        <v>6225.0375770000001</v>
      </c>
      <c r="O42" s="193"/>
      <c r="P42" s="194">
        <f t="shared" si="11"/>
        <v>5869.7375769999999</v>
      </c>
      <c r="Q42" s="193">
        <f>6224.737577-355</f>
        <v>5869.7375769999999</v>
      </c>
      <c r="R42" s="193"/>
      <c r="S42" s="193"/>
      <c r="T42" s="193"/>
      <c r="U42" s="193">
        <f t="shared" si="12"/>
        <v>355.3</v>
      </c>
      <c r="V42" s="193"/>
      <c r="W42" s="193">
        <v>355.3</v>
      </c>
      <c r="X42" s="193"/>
      <c r="Y42" s="193"/>
      <c r="Z42" s="193"/>
      <c r="AA42" s="193"/>
      <c r="AB42" s="195">
        <f t="shared" si="3"/>
        <v>89.158372629619024</v>
      </c>
      <c r="AC42" s="195"/>
      <c r="AD42" s="195">
        <f t="shared" si="4"/>
        <v>88.639951328903649</v>
      </c>
      <c r="AE42" s="195">
        <f>U42/K42%</f>
        <v>98.694444444444443</v>
      </c>
    </row>
    <row r="43" spans="1:31" s="155" customFormat="1" ht="24.75" customHeight="1" x14ac:dyDescent="0.3">
      <c r="A43" s="196" t="s">
        <v>378</v>
      </c>
      <c r="B43" s="198" t="s">
        <v>380</v>
      </c>
      <c r="C43" s="193">
        <f t="shared" si="8"/>
        <v>684</v>
      </c>
      <c r="D43" s="193"/>
      <c r="E43" s="193">
        <f t="shared" si="9"/>
        <v>684</v>
      </c>
      <c r="F43" s="193">
        <v>684</v>
      </c>
      <c r="G43" s="193"/>
      <c r="H43" s="193"/>
      <c r="I43" s="193"/>
      <c r="J43" s="193"/>
      <c r="K43" s="193">
        <f t="shared" si="6"/>
        <v>0</v>
      </c>
      <c r="L43" s="193"/>
      <c r="M43" s="193"/>
      <c r="N43" s="193">
        <f t="shared" si="10"/>
        <v>651</v>
      </c>
      <c r="O43" s="193"/>
      <c r="P43" s="194">
        <f t="shared" si="11"/>
        <v>651</v>
      </c>
      <c r="Q43" s="193">
        <v>651</v>
      </c>
      <c r="R43" s="193"/>
      <c r="S43" s="193"/>
      <c r="T43" s="193"/>
      <c r="U43" s="193">
        <f t="shared" si="12"/>
        <v>0</v>
      </c>
      <c r="V43" s="193"/>
      <c r="W43" s="193"/>
      <c r="X43" s="193"/>
      <c r="Y43" s="193"/>
      <c r="Z43" s="193"/>
      <c r="AA43" s="193"/>
      <c r="AB43" s="195">
        <f t="shared" si="3"/>
        <v>95.175438596491233</v>
      </c>
      <c r="AC43" s="195"/>
      <c r="AD43" s="195">
        <f t="shared" si="4"/>
        <v>95.175438596491233</v>
      </c>
      <c r="AE43" s="195"/>
    </row>
    <row r="44" spans="1:31" s="155" customFormat="1" ht="33.75" customHeight="1" x14ac:dyDescent="0.3">
      <c r="A44" s="191" t="s">
        <v>379</v>
      </c>
      <c r="B44" s="198" t="s">
        <v>382</v>
      </c>
      <c r="C44" s="193">
        <f t="shared" si="8"/>
        <v>544</v>
      </c>
      <c r="D44" s="193"/>
      <c r="E44" s="193">
        <f t="shared" si="9"/>
        <v>544</v>
      </c>
      <c r="F44" s="193">
        <v>544</v>
      </c>
      <c r="G44" s="193"/>
      <c r="H44" s="193"/>
      <c r="I44" s="193"/>
      <c r="J44" s="193"/>
      <c r="K44" s="193">
        <f t="shared" si="6"/>
        <v>0</v>
      </c>
      <c r="L44" s="193"/>
      <c r="M44" s="193"/>
      <c r="N44" s="193">
        <f t="shared" si="10"/>
        <v>499</v>
      </c>
      <c r="O44" s="193"/>
      <c r="P44" s="194">
        <f t="shared" si="11"/>
        <v>499</v>
      </c>
      <c r="Q44" s="193">
        <v>499</v>
      </c>
      <c r="R44" s="193"/>
      <c r="S44" s="193"/>
      <c r="T44" s="193"/>
      <c r="U44" s="193">
        <f t="shared" si="12"/>
        <v>0</v>
      </c>
      <c r="V44" s="193"/>
      <c r="W44" s="193"/>
      <c r="X44" s="193"/>
      <c r="Y44" s="193"/>
      <c r="Z44" s="193"/>
      <c r="AA44" s="193"/>
      <c r="AB44" s="195">
        <f t="shared" si="3"/>
        <v>91.72794117647058</v>
      </c>
      <c r="AC44" s="195"/>
      <c r="AD44" s="195">
        <f t="shared" si="4"/>
        <v>91.72794117647058</v>
      </c>
      <c r="AE44" s="195"/>
    </row>
    <row r="45" spans="1:31" s="155" customFormat="1" ht="24.75" customHeight="1" x14ac:dyDescent="0.3">
      <c r="A45" s="196" t="s">
        <v>381</v>
      </c>
      <c r="B45" s="198" t="s">
        <v>384</v>
      </c>
      <c r="C45" s="193">
        <f t="shared" si="8"/>
        <v>420</v>
      </c>
      <c r="D45" s="193"/>
      <c r="E45" s="193">
        <f t="shared" si="9"/>
        <v>420</v>
      </c>
      <c r="F45" s="193">
        <v>420</v>
      </c>
      <c r="G45" s="193"/>
      <c r="H45" s="193"/>
      <c r="I45" s="193"/>
      <c r="J45" s="193"/>
      <c r="K45" s="193">
        <f t="shared" si="6"/>
        <v>0</v>
      </c>
      <c r="L45" s="193"/>
      <c r="M45" s="193"/>
      <c r="N45" s="193">
        <f t="shared" si="10"/>
        <v>387</v>
      </c>
      <c r="O45" s="193"/>
      <c r="P45" s="194">
        <f t="shared" si="11"/>
        <v>387</v>
      </c>
      <c r="Q45" s="193">
        <v>387</v>
      </c>
      <c r="R45" s="193"/>
      <c r="S45" s="193"/>
      <c r="T45" s="193"/>
      <c r="U45" s="193">
        <f t="shared" si="12"/>
        <v>0</v>
      </c>
      <c r="V45" s="193"/>
      <c r="W45" s="193"/>
      <c r="X45" s="193"/>
      <c r="Y45" s="193"/>
      <c r="Z45" s="193"/>
      <c r="AA45" s="193"/>
      <c r="AB45" s="195">
        <f t="shared" si="3"/>
        <v>92.142857142857139</v>
      </c>
      <c r="AC45" s="195"/>
      <c r="AD45" s="195">
        <f t="shared" si="4"/>
        <v>92.142857142857139</v>
      </c>
      <c r="AE45" s="195"/>
    </row>
    <row r="46" spans="1:31" s="155" customFormat="1" ht="24.75" customHeight="1" x14ac:dyDescent="0.3">
      <c r="A46" s="191" t="s">
        <v>383</v>
      </c>
      <c r="B46" s="198" t="s">
        <v>386</v>
      </c>
      <c r="C46" s="193">
        <f t="shared" si="8"/>
        <v>453</v>
      </c>
      <c r="D46" s="193"/>
      <c r="E46" s="193">
        <f t="shared" si="9"/>
        <v>453</v>
      </c>
      <c r="F46" s="193">
        <v>453</v>
      </c>
      <c r="G46" s="193"/>
      <c r="H46" s="193"/>
      <c r="I46" s="193"/>
      <c r="J46" s="193"/>
      <c r="K46" s="193">
        <f t="shared" si="6"/>
        <v>0</v>
      </c>
      <c r="L46" s="193"/>
      <c r="M46" s="193"/>
      <c r="N46" s="193">
        <f t="shared" si="10"/>
        <v>435.4</v>
      </c>
      <c r="O46" s="193"/>
      <c r="P46" s="194">
        <f t="shared" si="11"/>
        <v>435.4</v>
      </c>
      <c r="Q46" s="193">
        <v>435.4</v>
      </c>
      <c r="R46" s="193"/>
      <c r="S46" s="193"/>
      <c r="T46" s="193"/>
      <c r="U46" s="193">
        <f t="shared" si="12"/>
        <v>0</v>
      </c>
      <c r="V46" s="193"/>
      <c r="W46" s="193"/>
      <c r="X46" s="193"/>
      <c r="Y46" s="193"/>
      <c r="Z46" s="193"/>
      <c r="AA46" s="193"/>
      <c r="AB46" s="195">
        <f t="shared" si="3"/>
        <v>96.114790286975705</v>
      </c>
      <c r="AC46" s="195"/>
      <c r="AD46" s="195">
        <f t="shared" si="4"/>
        <v>96.114790286975705</v>
      </c>
      <c r="AE46" s="195"/>
    </row>
    <row r="47" spans="1:31" s="155" customFormat="1" ht="24.75" customHeight="1" x14ac:dyDescent="0.3">
      <c r="A47" s="196" t="s">
        <v>385</v>
      </c>
      <c r="B47" s="198" t="s">
        <v>388</v>
      </c>
      <c r="C47" s="193">
        <f t="shared" si="8"/>
        <v>100</v>
      </c>
      <c r="D47" s="193"/>
      <c r="E47" s="193">
        <f t="shared" si="9"/>
        <v>100</v>
      </c>
      <c r="F47" s="193">
        <v>100</v>
      </c>
      <c r="G47" s="193"/>
      <c r="H47" s="193"/>
      <c r="I47" s="193"/>
      <c r="J47" s="193"/>
      <c r="K47" s="193">
        <f t="shared" si="6"/>
        <v>0</v>
      </c>
      <c r="L47" s="193"/>
      <c r="M47" s="193"/>
      <c r="N47" s="193">
        <f t="shared" si="10"/>
        <v>90</v>
      </c>
      <c r="O47" s="193"/>
      <c r="P47" s="194">
        <f t="shared" si="11"/>
        <v>90</v>
      </c>
      <c r="Q47" s="193">
        <v>90</v>
      </c>
      <c r="R47" s="193"/>
      <c r="S47" s="193"/>
      <c r="T47" s="193"/>
      <c r="U47" s="193">
        <f t="shared" si="12"/>
        <v>0</v>
      </c>
      <c r="V47" s="193"/>
      <c r="W47" s="193"/>
      <c r="X47" s="193"/>
      <c r="Y47" s="193"/>
      <c r="Z47" s="193"/>
      <c r="AA47" s="193"/>
      <c r="AB47" s="195">
        <f t="shared" si="3"/>
        <v>90</v>
      </c>
      <c r="AC47" s="195"/>
      <c r="AD47" s="195">
        <f t="shared" si="4"/>
        <v>90</v>
      </c>
      <c r="AE47" s="195"/>
    </row>
    <row r="48" spans="1:31" s="155" customFormat="1" ht="24.75" customHeight="1" x14ac:dyDescent="0.3">
      <c r="A48" s="191" t="s">
        <v>387</v>
      </c>
      <c r="B48" s="198" t="s">
        <v>390</v>
      </c>
      <c r="C48" s="193">
        <f t="shared" si="8"/>
        <v>1062</v>
      </c>
      <c r="D48" s="193"/>
      <c r="E48" s="193">
        <f t="shared" si="9"/>
        <v>1062</v>
      </c>
      <c r="F48" s="193">
        <v>967</v>
      </c>
      <c r="G48" s="193"/>
      <c r="H48" s="193">
        <v>95</v>
      </c>
      <c r="I48" s="193"/>
      <c r="J48" s="193"/>
      <c r="K48" s="193">
        <f t="shared" si="6"/>
        <v>0</v>
      </c>
      <c r="L48" s="193"/>
      <c r="M48" s="193"/>
      <c r="N48" s="193">
        <f t="shared" si="10"/>
        <v>856.09</v>
      </c>
      <c r="O48" s="193"/>
      <c r="P48" s="194">
        <f t="shared" si="11"/>
        <v>856.09</v>
      </c>
      <c r="Q48" s="193">
        <v>856.09</v>
      </c>
      <c r="R48" s="193"/>
      <c r="S48" s="193"/>
      <c r="T48" s="193"/>
      <c r="U48" s="193">
        <f t="shared" si="12"/>
        <v>0</v>
      </c>
      <c r="V48" s="193"/>
      <c r="W48" s="193"/>
      <c r="X48" s="193"/>
      <c r="Y48" s="193"/>
      <c r="Z48" s="193"/>
      <c r="AA48" s="193"/>
      <c r="AB48" s="195">
        <f t="shared" si="3"/>
        <v>80.611111111111114</v>
      </c>
      <c r="AC48" s="195"/>
      <c r="AD48" s="195">
        <f t="shared" si="4"/>
        <v>80.611111111111114</v>
      </c>
      <c r="AE48" s="195"/>
    </row>
    <row r="49" spans="1:31" s="155" customFormat="1" ht="34.5" customHeight="1" x14ac:dyDescent="0.3">
      <c r="A49" s="196" t="s">
        <v>389</v>
      </c>
      <c r="B49" s="198" t="s">
        <v>392</v>
      </c>
      <c r="C49" s="193">
        <f t="shared" si="8"/>
        <v>1724</v>
      </c>
      <c r="D49" s="193"/>
      <c r="E49" s="193">
        <f t="shared" si="9"/>
        <v>1724</v>
      </c>
      <c r="F49" s="193">
        <v>1724</v>
      </c>
      <c r="G49" s="193"/>
      <c r="H49" s="193"/>
      <c r="I49" s="193"/>
      <c r="J49" s="193"/>
      <c r="K49" s="193">
        <f t="shared" si="6"/>
        <v>0</v>
      </c>
      <c r="L49" s="193"/>
      <c r="M49" s="193"/>
      <c r="N49" s="193">
        <f t="shared" si="10"/>
        <v>1599</v>
      </c>
      <c r="O49" s="193"/>
      <c r="P49" s="194">
        <f t="shared" si="11"/>
        <v>1599</v>
      </c>
      <c r="Q49" s="193">
        <v>1599</v>
      </c>
      <c r="R49" s="193"/>
      <c r="S49" s="193"/>
      <c r="T49" s="193"/>
      <c r="U49" s="193">
        <f t="shared" si="12"/>
        <v>0</v>
      </c>
      <c r="V49" s="193"/>
      <c r="W49" s="193"/>
      <c r="X49" s="193"/>
      <c r="Y49" s="193"/>
      <c r="Z49" s="193"/>
      <c r="AA49" s="193"/>
      <c r="AB49" s="195">
        <f t="shared" si="3"/>
        <v>92.749419953596302</v>
      </c>
      <c r="AC49" s="195"/>
      <c r="AD49" s="195">
        <f t="shared" si="4"/>
        <v>92.749419953596302</v>
      </c>
      <c r="AE49" s="195"/>
    </row>
    <row r="50" spans="1:31" s="155" customFormat="1" ht="24.75" customHeight="1" x14ac:dyDescent="0.3">
      <c r="A50" s="191" t="s">
        <v>391</v>
      </c>
      <c r="B50" s="198" t="s">
        <v>394</v>
      </c>
      <c r="C50" s="193">
        <f t="shared" si="8"/>
        <v>422</v>
      </c>
      <c r="D50" s="193"/>
      <c r="E50" s="193">
        <f t="shared" si="9"/>
        <v>422</v>
      </c>
      <c r="F50" s="193">
        <v>422</v>
      </c>
      <c r="G50" s="193"/>
      <c r="H50" s="193"/>
      <c r="I50" s="193"/>
      <c r="J50" s="193"/>
      <c r="K50" s="193">
        <f t="shared" si="6"/>
        <v>0</v>
      </c>
      <c r="L50" s="193"/>
      <c r="M50" s="193"/>
      <c r="N50" s="193">
        <f t="shared" si="10"/>
        <v>364.4</v>
      </c>
      <c r="O50" s="193"/>
      <c r="P50" s="194">
        <f t="shared" si="11"/>
        <v>364.4</v>
      </c>
      <c r="Q50" s="193">
        <v>364.4</v>
      </c>
      <c r="R50" s="193"/>
      <c r="S50" s="193"/>
      <c r="T50" s="193"/>
      <c r="U50" s="193">
        <f t="shared" si="12"/>
        <v>0</v>
      </c>
      <c r="V50" s="193"/>
      <c r="W50" s="193"/>
      <c r="X50" s="193"/>
      <c r="Y50" s="193"/>
      <c r="Z50" s="193"/>
      <c r="AA50" s="193"/>
      <c r="AB50" s="195">
        <f t="shared" si="3"/>
        <v>86.350710900473928</v>
      </c>
      <c r="AC50" s="195"/>
      <c r="AD50" s="195">
        <f t="shared" si="4"/>
        <v>86.350710900473928</v>
      </c>
      <c r="AE50" s="195"/>
    </row>
    <row r="51" spans="1:31" s="155" customFormat="1" ht="24.75" customHeight="1" x14ac:dyDescent="0.3">
      <c r="A51" s="196" t="s">
        <v>393</v>
      </c>
      <c r="B51" s="198" t="s">
        <v>396</v>
      </c>
      <c r="C51" s="193">
        <f t="shared" si="8"/>
        <v>1406</v>
      </c>
      <c r="D51" s="193"/>
      <c r="E51" s="193">
        <f t="shared" si="9"/>
        <v>1406</v>
      </c>
      <c r="F51" s="193">
        <v>931</v>
      </c>
      <c r="G51" s="193"/>
      <c r="H51" s="193">
        <v>475</v>
      </c>
      <c r="I51" s="193"/>
      <c r="J51" s="193"/>
      <c r="K51" s="193">
        <f t="shared" si="6"/>
        <v>0</v>
      </c>
      <c r="L51" s="193"/>
      <c r="M51" s="193"/>
      <c r="N51" s="193">
        <f t="shared" si="10"/>
        <v>1456.8</v>
      </c>
      <c r="O51" s="193"/>
      <c r="P51" s="194">
        <f t="shared" si="11"/>
        <v>1456.8</v>
      </c>
      <c r="Q51" s="193">
        <v>1456.8</v>
      </c>
      <c r="R51" s="193"/>
      <c r="S51" s="193"/>
      <c r="T51" s="193"/>
      <c r="U51" s="193">
        <f t="shared" si="12"/>
        <v>0</v>
      </c>
      <c r="V51" s="193"/>
      <c r="W51" s="193"/>
      <c r="X51" s="193"/>
      <c r="Y51" s="193"/>
      <c r="Z51" s="193"/>
      <c r="AA51" s="193"/>
      <c r="AB51" s="195">
        <f t="shared" si="3"/>
        <v>103.6130867709815</v>
      </c>
      <c r="AC51" s="195"/>
      <c r="AD51" s="195">
        <f t="shared" si="4"/>
        <v>103.6130867709815</v>
      </c>
      <c r="AE51" s="195"/>
    </row>
    <row r="52" spans="1:31" s="155" customFormat="1" ht="24.75" customHeight="1" x14ac:dyDescent="0.3">
      <c r="A52" s="191" t="s">
        <v>395</v>
      </c>
      <c r="B52" s="198" t="s">
        <v>398</v>
      </c>
      <c r="C52" s="193">
        <f>D52+E52+I52+J52+K52</f>
        <v>223</v>
      </c>
      <c r="D52" s="193"/>
      <c r="E52" s="193">
        <f>F52+G52+H52</f>
        <v>223</v>
      </c>
      <c r="F52" s="193">
        <v>223</v>
      </c>
      <c r="G52" s="193"/>
      <c r="H52" s="193"/>
      <c r="I52" s="193"/>
      <c r="J52" s="193"/>
      <c r="K52" s="193">
        <f>L52+M52</f>
        <v>0</v>
      </c>
      <c r="L52" s="193"/>
      <c r="M52" s="193"/>
      <c r="N52" s="193">
        <f>O52+P52+S52+T52+U52</f>
        <v>0</v>
      </c>
      <c r="O52" s="193"/>
      <c r="P52" s="194">
        <f t="shared" si="11"/>
        <v>0</v>
      </c>
      <c r="Q52" s="193"/>
      <c r="R52" s="193"/>
      <c r="S52" s="193"/>
      <c r="T52" s="193"/>
      <c r="U52" s="193">
        <f>V52+W52</f>
        <v>0</v>
      </c>
      <c r="V52" s="193"/>
      <c r="W52" s="193"/>
      <c r="X52" s="193"/>
      <c r="Y52" s="193"/>
      <c r="Z52" s="193"/>
      <c r="AA52" s="193"/>
      <c r="AB52" s="195">
        <f t="shared" si="3"/>
        <v>0</v>
      </c>
      <c r="AC52" s="195"/>
      <c r="AD52" s="195">
        <f t="shared" si="4"/>
        <v>0</v>
      </c>
      <c r="AE52" s="195"/>
    </row>
    <row r="53" spans="1:31" s="155" customFormat="1" ht="24.75" customHeight="1" x14ac:dyDescent="0.3">
      <c r="A53" s="196" t="s">
        <v>397</v>
      </c>
      <c r="B53" s="198" t="s">
        <v>400</v>
      </c>
      <c r="C53" s="193">
        <f>D53+E53+I53+J53+K53</f>
        <v>100</v>
      </c>
      <c r="D53" s="193"/>
      <c r="E53" s="193">
        <f>F53+G53+H53</f>
        <v>100</v>
      </c>
      <c r="F53" s="193">
        <v>100</v>
      </c>
      <c r="G53" s="193"/>
      <c r="H53" s="193"/>
      <c r="I53" s="193"/>
      <c r="J53" s="193"/>
      <c r="K53" s="193">
        <f>L53+M53</f>
        <v>0</v>
      </c>
      <c r="L53" s="193"/>
      <c r="M53" s="193"/>
      <c r="N53" s="193">
        <f>O53+P53+S53+T53+U53</f>
        <v>0</v>
      </c>
      <c r="O53" s="193"/>
      <c r="P53" s="194">
        <f t="shared" si="11"/>
        <v>0</v>
      </c>
      <c r="Q53" s="193"/>
      <c r="R53" s="193"/>
      <c r="S53" s="193"/>
      <c r="T53" s="193"/>
      <c r="U53" s="193">
        <f>V53+W53</f>
        <v>0</v>
      </c>
      <c r="V53" s="193"/>
      <c r="W53" s="193"/>
      <c r="X53" s="193"/>
      <c r="Y53" s="193"/>
      <c r="Z53" s="193"/>
      <c r="AA53" s="193"/>
      <c r="AB53" s="195">
        <f t="shared" si="3"/>
        <v>0</v>
      </c>
      <c r="AC53" s="195"/>
      <c r="AD53" s="195">
        <f t="shared" si="4"/>
        <v>0</v>
      </c>
      <c r="AE53" s="195"/>
    </row>
    <row r="54" spans="1:31" s="155" customFormat="1" ht="24.75" customHeight="1" x14ac:dyDescent="0.3">
      <c r="A54" s="191" t="s">
        <v>399</v>
      </c>
      <c r="B54" s="198" t="s">
        <v>402</v>
      </c>
      <c r="C54" s="193">
        <f t="shared" si="8"/>
        <v>355</v>
      </c>
      <c r="D54" s="193"/>
      <c r="E54" s="193">
        <f t="shared" si="9"/>
        <v>355</v>
      </c>
      <c r="F54" s="193">
        <v>355</v>
      </c>
      <c r="G54" s="193"/>
      <c r="H54" s="193"/>
      <c r="I54" s="193"/>
      <c r="J54" s="193"/>
      <c r="K54" s="193">
        <f t="shared" si="6"/>
        <v>0</v>
      </c>
      <c r="L54" s="193"/>
      <c r="M54" s="193"/>
      <c r="N54" s="193">
        <f t="shared" si="10"/>
        <v>349</v>
      </c>
      <c r="O54" s="193"/>
      <c r="P54" s="194">
        <f t="shared" si="11"/>
        <v>349</v>
      </c>
      <c r="Q54" s="193">
        <v>349</v>
      </c>
      <c r="R54" s="193"/>
      <c r="S54" s="193"/>
      <c r="T54" s="193"/>
      <c r="U54" s="193">
        <f t="shared" si="12"/>
        <v>0</v>
      </c>
      <c r="V54" s="193"/>
      <c r="W54" s="193"/>
      <c r="X54" s="193"/>
      <c r="Y54" s="193"/>
      <c r="Z54" s="193"/>
      <c r="AA54" s="193"/>
      <c r="AB54" s="195">
        <f t="shared" si="3"/>
        <v>98.309859154929583</v>
      </c>
      <c r="AC54" s="195"/>
      <c r="AD54" s="195">
        <f t="shared" si="4"/>
        <v>98.309859154929583</v>
      </c>
      <c r="AE54" s="195"/>
    </row>
    <row r="55" spans="1:31" s="155" customFormat="1" ht="24.75" customHeight="1" x14ac:dyDescent="0.3">
      <c r="A55" s="196" t="s">
        <v>401</v>
      </c>
      <c r="B55" s="192" t="s">
        <v>404</v>
      </c>
      <c r="C55" s="193">
        <f t="shared" si="8"/>
        <v>1948</v>
      </c>
      <c r="D55" s="193"/>
      <c r="E55" s="193">
        <f t="shared" si="9"/>
        <v>1948</v>
      </c>
      <c r="F55" s="193">
        <v>1948</v>
      </c>
      <c r="G55" s="193"/>
      <c r="H55" s="193"/>
      <c r="I55" s="193"/>
      <c r="J55" s="193"/>
      <c r="K55" s="193">
        <f t="shared" si="6"/>
        <v>0</v>
      </c>
      <c r="L55" s="193"/>
      <c r="M55" s="193"/>
      <c r="N55" s="193">
        <f t="shared" si="10"/>
        <v>1955.75</v>
      </c>
      <c r="O55" s="193"/>
      <c r="P55" s="194">
        <f t="shared" si="11"/>
        <v>1955.75</v>
      </c>
      <c r="Q55" s="193">
        <v>1955.75</v>
      </c>
      <c r="R55" s="193"/>
      <c r="S55" s="193"/>
      <c r="T55" s="193"/>
      <c r="U55" s="193">
        <f t="shared" si="12"/>
        <v>0</v>
      </c>
      <c r="V55" s="193"/>
      <c r="W55" s="193"/>
      <c r="X55" s="193"/>
      <c r="Y55" s="193"/>
      <c r="Z55" s="193"/>
      <c r="AA55" s="193"/>
      <c r="AB55" s="195">
        <f t="shared" si="3"/>
        <v>100.39784394250513</v>
      </c>
      <c r="AC55" s="195"/>
      <c r="AD55" s="195">
        <f t="shared" si="4"/>
        <v>100.39784394250513</v>
      </c>
      <c r="AE55" s="195"/>
    </row>
    <row r="56" spans="1:31" s="155" customFormat="1" ht="24.75" customHeight="1" x14ac:dyDescent="0.3">
      <c r="A56" s="191" t="s">
        <v>403</v>
      </c>
      <c r="B56" s="192" t="s">
        <v>405</v>
      </c>
      <c r="C56" s="193">
        <f t="shared" si="8"/>
        <v>2406</v>
      </c>
      <c r="D56" s="193"/>
      <c r="E56" s="193">
        <f t="shared" si="9"/>
        <v>2106</v>
      </c>
      <c r="F56" s="193">
        <v>2106</v>
      </c>
      <c r="G56" s="193"/>
      <c r="H56" s="193"/>
      <c r="I56" s="193"/>
      <c r="J56" s="193"/>
      <c r="K56" s="193">
        <f t="shared" si="6"/>
        <v>300</v>
      </c>
      <c r="L56" s="193"/>
      <c r="M56" s="193">
        <v>300</v>
      </c>
      <c r="N56" s="193">
        <f t="shared" si="10"/>
        <v>2097.7970999999998</v>
      </c>
      <c r="O56" s="193"/>
      <c r="P56" s="194">
        <f t="shared" si="11"/>
        <v>1824.4030999999998</v>
      </c>
      <c r="Q56" s="193">
        <f>2097.7971-273.394</f>
        <v>1824.4030999999998</v>
      </c>
      <c r="R56" s="193"/>
      <c r="S56" s="193"/>
      <c r="T56" s="193"/>
      <c r="U56" s="193">
        <f t="shared" si="12"/>
        <v>273.39400000000001</v>
      </c>
      <c r="V56" s="193"/>
      <c r="W56" s="193">
        <v>273.39400000000001</v>
      </c>
      <c r="X56" s="193"/>
      <c r="Y56" s="193"/>
      <c r="Z56" s="193"/>
      <c r="AA56" s="193"/>
      <c r="AB56" s="195">
        <f t="shared" si="3"/>
        <v>87.190236907730664</v>
      </c>
      <c r="AC56" s="195"/>
      <c r="AD56" s="195">
        <f t="shared" si="4"/>
        <v>86.628827160493827</v>
      </c>
      <c r="AE56" s="195">
        <f>U56/K56%</f>
        <v>91.13133333333333</v>
      </c>
    </row>
    <row r="57" spans="1:31" s="155" customFormat="1" ht="24.75" customHeight="1" x14ac:dyDescent="0.3">
      <c r="A57" s="196" t="s">
        <v>505</v>
      </c>
      <c r="B57" s="192" t="s">
        <v>504</v>
      </c>
      <c r="C57" s="193">
        <v>886562.88699999999</v>
      </c>
      <c r="D57" s="193">
        <v>814561.88699999999</v>
      </c>
      <c r="E57" s="193">
        <v>72001</v>
      </c>
      <c r="F57" s="193">
        <v>57299</v>
      </c>
      <c r="G57" s="193">
        <v>0</v>
      </c>
      <c r="H57" s="193">
        <v>14702</v>
      </c>
      <c r="I57" s="193">
        <v>0</v>
      </c>
      <c r="J57" s="193">
        <v>0</v>
      </c>
      <c r="K57" s="193">
        <v>0</v>
      </c>
      <c r="L57" s="193">
        <v>0</v>
      </c>
      <c r="M57" s="193">
        <v>0</v>
      </c>
      <c r="N57" s="193">
        <v>146958.185539</v>
      </c>
      <c r="O57" s="193">
        <v>62953.617215000006</v>
      </c>
      <c r="P57" s="193">
        <v>84004.568323999993</v>
      </c>
      <c r="Q57" s="193">
        <v>83604.568323999993</v>
      </c>
      <c r="R57" s="193">
        <v>400</v>
      </c>
      <c r="S57" s="193">
        <v>0</v>
      </c>
      <c r="T57" s="193">
        <v>0</v>
      </c>
      <c r="U57" s="193">
        <v>0</v>
      </c>
      <c r="V57" s="193">
        <v>0</v>
      </c>
      <c r="W57" s="193">
        <v>0</v>
      </c>
      <c r="X57" s="193">
        <v>0</v>
      </c>
      <c r="Y57" s="193">
        <v>0</v>
      </c>
      <c r="Z57" s="193">
        <v>0</v>
      </c>
      <c r="AA57" s="193">
        <v>0</v>
      </c>
      <c r="AB57" s="195">
        <f t="shared" ref="AB57" si="13">N57/C57%</f>
        <v>16.57617160541032</v>
      </c>
      <c r="AC57" s="195"/>
      <c r="AD57" s="195">
        <f t="shared" ref="AD57" si="14">P57/E57%</f>
        <v>116.67139112512325</v>
      </c>
      <c r="AE57" s="195"/>
    </row>
    <row r="58" spans="1:31" s="155" customFormat="1" ht="24.75" customHeight="1" x14ac:dyDescent="0.3">
      <c r="A58" s="196" t="s">
        <v>506</v>
      </c>
      <c r="B58" s="198" t="s">
        <v>406</v>
      </c>
      <c r="C58" s="193">
        <f t="shared" si="8"/>
        <v>208</v>
      </c>
      <c r="D58" s="193"/>
      <c r="E58" s="193">
        <f t="shared" si="9"/>
        <v>208</v>
      </c>
      <c r="F58" s="193">
        <v>208</v>
      </c>
      <c r="G58" s="193"/>
      <c r="H58" s="193"/>
      <c r="I58" s="193"/>
      <c r="J58" s="193"/>
      <c r="K58" s="193">
        <f t="shared" si="6"/>
        <v>0</v>
      </c>
      <c r="L58" s="193"/>
      <c r="M58" s="193"/>
      <c r="N58" s="193">
        <f t="shared" si="10"/>
        <v>0</v>
      </c>
      <c r="O58" s="193"/>
      <c r="P58" s="194">
        <f t="shared" si="11"/>
        <v>0</v>
      </c>
      <c r="Q58" s="193"/>
      <c r="R58" s="193"/>
      <c r="S58" s="193"/>
      <c r="T58" s="193"/>
      <c r="U58" s="193">
        <f t="shared" si="12"/>
        <v>0</v>
      </c>
      <c r="V58" s="193"/>
      <c r="W58" s="193"/>
      <c r="X58" s="193"/>
      <c r="Y58" s="193"/>
      <c r="Z58" s="193"/>
      <c r="AA58" s="193"/>
      <c r="AB58" s="195">
        <f t="shared" si="3"/>
        <v>0</v>
      </c>
      <c r="AC58" s="195"/>
      <c r="AD58" s="195">
        <f t="shared" si="4"/>
        <v>0</v>
      </c>
      <c r="AE58" s="195"/>
    </row>
    <row r="59" spans="1:31" s="155" customFormat="1" ht="24.75" customHeight="1" x14ac:dyDescent="0.3">
      <c r="A59" s="196" t="s">
        <v>507</v>
      </c>
      <c r="B59" s="198" t="s">
        <v>407</v>
      </c>
      <c r="C59" s="193">
        <f t="shared" si="8"/>
        <v>120</v>
      </c>
      <c r="D59" s="193"/>
      <c r="E59" s="193">
        <f t="shared" si="9"/>
        <v>120</v>
      </c>
      <c r="F59" s="193">
        <v>120</v>
      </c>
      <c r="G59" s="193"/>
      <c r="H59" s="193"/>
      <c r="I59" s="193"/>
      <c r="J59" s="193"/>
      <c r="K59" s="193">
        <f t="shared" si="6"/>
        <v>0</v>
      </c>
      <c r="L59" s="193"/>
      <c r="M59" s="193"/>
      <c r="N59" s="193">
        <f t="shared" si="10"/>
        <v>0</v>
      </c>
      <c r="O59" s="193"/>
      <c r="P59" s="194">
        <f t="shared" si="11"/>
        <v>0</v>
      </c>
      <c r="Q59" s="193"/>
      <c r="R59" s="193"/>
      <c r="S59" s="193"/>
      <c r="T59" s="193"/>
      <c r="U59" s="193">
        <f t="shared" si="12"/>
        <v>0</v>
      </c>
      <c r="V59" s="193"/>
      <c r="W59" s="193"/>
      <c r="X59" s="193"/>
      <c r="Y59" s="193"/>
      <c r="Z59" s="193"/>
      <c r="AA59" s="193"/>
      <c r="AB59" s="195">
        <f t="shared" si="3"/>
        <v>0</v>
      </c>
      <c r="AC59" s="195"/>
      <c r="AD59" s="195">
        <f t="shared" si="4"/>
        <v>0</v>
      </c>
      <c r="AE59" s="195"/>
    </row>
    <row r="60" spans="1:31" s="155" customFormat="1" ht="24.75" customHeight="1" x14ac:dyDescent="0.3">
      <c r="A60" s="196" t="s">
        <v>508</v>
      </c>
      <c r="B60" s="198" t="s">
        <v>408</v>
      </c>
      <c r="C60" s="193">
        <f t="shared" si="8"/>
        <v>100</v>
      </c>
      <c r="D60" s="193"/>
      <c r="E60" s="193">
        <f t="shared" si="9"/>
        <v>100</v>
      </c>
      <c r="F60" s="193">
        <v>100</v>
      </c>
      <c r="G60" s="193"/>
      <c r="H60" s="193"/>
      <c r="I60" s="193"/>
      <c r="J60" s="193"/>
      <c r="K60" s="193">
        <f t="shared" si="6"/>
        <v>0</v>
      </c>
      <c r="L60" s="193"/>
      <c r="M60" s="193"/>
      <c r="N60" s="193">
        <f t="shared" si="10"/>
        <v>168</v>
      </c>
      <c r="O60" s="193"/>
      <c r="P60" s="194">
        <f t="shared" si="11"/>
        <v>168</v>
      </c>
      <c r="Q60" s="193"/>
      <c r="R60" s="193">
        <v>168</v>
      </c>
      <c r="S60" s="193"/>
      <c r="T60" s="193"/>
      <c r="U60" s="193">
        <f t="shared" si="12"/>
        <v>0</v>
      </c>
      <c r="V60" s="193"/>
      <c r="W60" s="193"/>
      <c r="X60" s="193"/>
      <c r="Y60" s="193"/>
      <c r="Z60" s="193"/>
      <c r="AA60" s="193"/>
      <c r="AB60" s="195">
        <f t="shared" si="3"/>
        <v>168</v>
      </c>
      <c r="AC60" s="195"/>
      <c r="AD60" s="195">
        <f t="shared" si="4"/>
        <v>168</v>
      </c>
      <c r="AE60" s="195"/>
    </row>
    <row r="61" spans="1:31" s="155" customFormat="1" ht="24.75" customHeight="1" x14ac:dyDescent="0.3">
      <c r="A61" s="196" t="s">
        <v>509</v>
      </c>
      <c r="B61" s="201" t="s">
        <v>409</v>
      </c>
      <c r="C61" s="193">
        <f t="shared" si="8"/>
        <v>0</v>
      </c>
      <c r="D61" s="193"/>
      <c r="E61" s="193">
        <f t="shared" si="9"/>
        <v>0</v>
      </c>
      <c r="F61" s="193"/>
      <c r="G61" s="193"/>
      <c r="H61" s="193"/>
      <c r="I61" s="193"/>
      <c r="J61" s="193"/>
      <c r="K61" s="193">
        <f t="shared" si="6"/>
        <v>0</v>
      </c>
      <c r="L61" s="193"/>
      <c r="M61" s="193"/>
      <c r="N61" s="193">
        <f t="shared" si="10"/>
        <v>6</v>
      </c>
      <c r="O61" s="193"/>
      <c r="P61" s="194">
        <f t="shared" si="11"/>
        <v>6</v>
      </c>
      <c r="Q61" s="193">
        <v>6</v>
      </c>
      <c r="R61" s="193"/>
      <c r="S61" s="193"/>
      <c r="T61" s="193"/>
      <c r="U61" s="193">
        <f t="shared" si="12"/>
        <v>0</v>
      </c>
      <c r="V61" s="193"/>
      <c r="W61" s="193"/>
      <c r="X61" s="193"/>
      <c r="Y61" s="193"/>
      <c r="Z61" s="193"/>
      <c r="AA61" s="193"/>
      <c r="AB61" s="195"/>
      <c r="AC61" s="195"/>
      <c r="AD61" s="195"/>
      <c r="AE61" s="195"/>
    </row>
    <row r="62" spans="1:31" s="155" customFormat="1" ht="38.25" customHeight="1" x14ac:dyDescent="0.3">
      <c r="A62" s="196" t="s">
        <v>510</v>
      </c>
      <c r="B62" s="201" t="s">
        <v>410</v>
      </c>
      <c r="C62" s="193">
        <f t="shared" si="8"/>
        <v>92</v>
      </c>
      <c r="D62" s="193"/>
      <c r="E62" s="193">
        <f t="shared" si="9"/>
        <v>92</v>
      </c>
      <c r="F62" s="193">
        <v>92</v>
      </c>
      <c r="G62" s="193"/>
      <c r="H62" s="193"/>
      <c r="I62" s="193"/>
      <c r="J62" s="193"/>
      <c r="K62" s="193">
        <f t="shared" si="6"/>
        <v>0</v>
      </c>
      <c r="L62" s="193"/>
      <c r="M62" s="193"/>
      <c r="N62" s="193">
        <f t="shared" si="10"/>
        <v>65</v>
      </c>
      <c r="O62" s="193"/>
      <c r="P62" s="194">
        <f t="shared" si="11"/>
        <v>65</v>
      </c>
      <c r="Q62" s="193">
        <v>65</v>
      </c>
      <c r="R62" s="193"/>
      <c r="S62" s="193"/>
      <c r="T62" s="193"/>
      <c r="U62" s="193">
        <f t="shared" si="12"/>
        <v>0</v>
      </c>
      <c r="V62" s="193"/>
      <c r="W62" s="193"/>
      <c r="X62" s="193"/>
      <c r="Y62" s="193"/>
      <c r="Z62" s="193"/>
      <c r="AA62" s="193"/>
      <c r="AB62" s="195">
        <f t="shared" si="3"/>
        <v>70.65217391304347</v>
      </c>
      <c r="AC62" s="195"/>
      <c r="AD62" s="195">
        <f t="shared" si="4"/>
        <v>70.65217391304347</v>
      </c>
      <c r="AE62" s="195"/>
    </row>
    <row r="63" spans="1:31" s="155" customFormat="1" ht="45.75" customHeight="1" x14ac:dyDescent="0.3">
      <c r="A63" s="196" t="s">
        <v>511</v>
      </c>
      <c r="B63" s="201" t="s">
        <v>411</v>
      </c>
      <c r="C63" s="193">
        <f t="shared" si="8"/>
        <v>4090</v>
      </c>
      <c r="D63" s="193">
        <v>4090</v>
      </c>
      <c r="E63" s="193">
        <f t="shared" si="9"/>
        <v>0</v>
      </c>
      <c r="F63" s="193"/>
      <c r="G63" s="193"/>
      <c r="H63" s="193"/>
      <c r="I63" s="193"/>
      <c r="J63" s="193"/>
      <c r="K63" s="193">
        <f t="shared" si="6"/>
        <v>0</v>
      </c>
      <c r="L63" s="193"/>
      <c r="M63" s="193"/>
      <c r="N63" s="193">
        <f t="shared" si="10"/>
        <v>11301.775888</v>
      </c>
      <c r="O63" s="193">
        <v>11301.775888</v>
      </c>
      <c r="P63" s="194">
        <f t="shared" si="11"/>
        <v>0</v>
      </c>
      <c r="Q63" s="193"/>
      <c r="R63" s="193"/>
      <c r="S63" s="193"/>
      <c r="T63" s="193"/>
      <c r="U63" s="193">
        <f t="shared" si="12"/>
        <v>0</v>
      </c>
      <c r="V63" s="193"/>
      <c r="W63" s="193"/>
      <c r="X63" s="193"/>
      <c r="Y63" s="193"/>
      <c r="Z63" s="193"/>
      <c r="AA63" s="193"/>
      <c r="AB63" s="195"/>
      <c r="AC63" s="195">
        <f>O63/D63%</f>
        <v>276.3270388264059</v>
      </c>
      <c r="AD63" s="195"/>
      <c r="AE63" s="195"/>
    </row>
    <row r="64" spans="1:31" s="155" customFormat="1" ht="24.75" customHeight="1" x14ac:dyDescent="0.3">
      <c r="A64" s="196" t="s">
        <v>512</v>
      </c>
      <c r="B64" s="201" t="s">
        <v>412</v>
      </c>
      <c r="C64" s="193">
        <f t="shared" si="8"/>
        <v>55406</v>
      </c>
      <c r="D64" s="193">
        <v>53261</v>
      </c>
      <c r="E64" s="193">
        <f t="shared" si="9"/>
        <v>2145</v>
      </c>
      <c r="F64" s="193"/>
      <c r="G64" s="193"/>
      <c r="H64" s="193">
        <v>2145</v>
      </c>
      <c r="I64" s="193"/>
      <c r="J64" s="193"/>
      <c r="K64" s="193">
        <f t="shared" si="6"/>
        <v>0</v>
      </c>
      <c r="L64" s="193"/>
      <c r="M64" s="193"/>
      <c r="N64" s="193">
        <f t="shared" si="10"/>
        <v>113014.33151500001</v>
      </c>
      <c r="O64" s="193">
        <v>84123.53151500001</v>
      </c>
      <c r="P64" s="194">
        <f t="shared" si="11"/>
        <v>28890.799999999999</v>
      </c>
      <c r="Q64" s="193">
        <v>28890.799999999999</v>
      </c>
      <c r="R64" s="193"/>
      <c r="S64" s="193"/>
      <c r="T64" s="193"/>
      <c r="U64" s="193">
        <f t="shared" si="12"/>
        <v>0</v>
      </c>
      <c r="V64" s="193"/>
      <c r="W64" s="193"/>
      <c r="X64" s="193"/>
      <c r="Y64" s="193"/>
      <c r="Z64" s="193"/>
      <c r="AA64" s="193"/>
      <c r="AB64" s="195"/>
      <c r="AC64" s="195">
        <f>O64/D64%</f>
        <v>157.94583563019847</v>
      </c>
      <c r="AD64" s="195"/>
      <c r="AE64" s="195"/>
    </row>
    <row r="65" spans="1:31" s="155" customFormat="1" ht="24.75" customHeight="1" x14ac:dyDescent="0.3">
      <c r="A65" s="196" t="s">
        <v>513</v>
      </c>
      <c r="B65" s="202" t="s">
        <v>413</v>
      </c>
      <c r="C65" s="193">
        <f t="shared" si="8"/>
        <v>407278.772</v>
      </c>
      <c r="D65" s="193">
        <v>407278.772</v>
      </c>
      <c r="E65" s="193">
        <f t="shared" si="9"/>
        <v>0</v>
      </c>
      <c r="F65" s="193"/>
      <c r="G65" s="193"/>
      <c r="H65" s="193"/>
      <c r="I65" s="193"/>
      <c r="J65" s="193"/>
      <c r="K65" s="193">
        <f t="shared" si="6"/>
        <v>0</v>
      </c>
      <c r="L65" s="193"/>
      <c r="M65" s="193"/>
      <c r="N65" s="193">
        <f t="shared" si="10"/>
        <v>703179.33624099998</v>
      </c>
      <c r="O65" s="193">
        <v>703179.33624099998</v>
      </c>
      <c r="P65" s="194">
        <f t="shared" si="11"/>
        <v>0</v>
      </c>
      <c r="Q65" s="193"/>
      <c r="R65" s="193"/>
      <c r="S65" s="193"/>
      <c r="T65" s="193"/>
      <c r="U65" s="193">
        <f t="shared" si="12"/>
        <v>0</v>
      </c>
      <c r="V65" s="193"/>
      <c r="W65" s="193"/>
      <c r="X65" s="193"/>
      <c r="Y65" s="193"/>
      <c r="Z65" s="193"/>
      <c r="AA65" s="193"/>
      <c r="AB65" s="195"/>
      <c r="AC65" s="195">
        <f>O65/D65%</f>
        <v>172.65307808406965</v>
      </c>
      <c r="AD65" s="195"/>
      <c r="AE65" s="195"/>
    </row>
    <row r="66" spans="1:31" s="155" customFormat="1" ht="24.75" customHeight="1" x14ac:dyDescent="0.3">
      <c r="A66" s="196" t="s">
        <v>514</v>
      </c>
      <c r="B66" s="201" t="s">
        <v>414</v>
      </c>
      <c r="C66" s="193">
        <f t="shared" si="8"/>
        <v>57034.191999999995</v>
      </c>
      <c r="D66" s="193">
        <v>57034.191999999995</v>
      </c>
      <c r="E66" s="193">
        <f t="shared" si="9"/>
        <v>0</v>
      </c>
      <c r="F66" s="193"/>
      <c r="G66" s="193"/>
      <c r="H66" s="193"/>
      <c r="I66" s="193"/>
      <c r="J66" s="193"/>
      <c r="K66" s="193">
        <f t="shared" si="6"/>
        <v>0</v>
      </c>
      <c r="L66" s="193"/>
      <c r="M66" s="193"/>
      <c r="N66" s="193">
        <f t="shared" si="10"/>
        <v>65726.881714000003</v>
      </c>
      <c r="O66" s="193">
        <v>65726.881714000003</v>
      </c>
      <c r="P66" s="194">
        <f t="shared" si="11"/>
        <v>0</v>
      </c>
      <c r="Q66" s="193"/>
      <c r="R66" s="193"/>
      <c r="S66" s="193"/>
      <c r="T66" s="193"/>
      <c r="U66" s="193">
        <f t="shared" si="12"/>
        <v>0</v>
      </c>
      <c r="V66" s="193"/>
      <c r="W66" s="193"/>
      <c r="X66" s="193"/>
      <c r="Y66" s="193"/>
      <c r="Z66" s="193"/>
      <c r="AA66" s="193"/>
      <c r="AB66" s="195"/>
      <c r="AC66" s="195">
        <f>O66/D66%</f>
        <v>115.24119025653945</v>
      </c>
      <c r="AD66" s="195"/>
      <c r="AE66" s="195"/>
    </row>
    <row r="67" spans="1:31" s="155" customFormat="1" ht="38.25" customHeight="1" x14ac:dyDescent="0.3">
      <c r="A67" s="196" t="s">
        <v>515</v>
      </c>
      <c r="B67" s="201" t="s">
        <v>415</v>
      </c>
      <c r="C67" s="193">
        <f t="shared" si="8"/>
        <v>2000.001</v>
      </c>
      <c r="D67" s="193">
        <v>2000.001</v>
      </c>
      <c r="E67" s="193">
        <f t="shared" si="9"/>
        <v>0</v>
      </c>
      <c r="F67" s="193"/>
      <c r="G67" s="193"/>
      <c r="H67" s="193"/>
      <c r="I67" s="193"/>
      <c r="J67" s="193"/>
      <c r="K67" s="193">
        <f t="shared" si="6"/>
        <v>0</v>
      </c>
      <c r="L67" s="193"/>
      <c r="M67" s="193"/>
      <c r="N67" s="193">
        <f t="shared" si="10"/>
        <v>2201.6806160000001</v>
      </c>
      <c r="O67" s="193">
        <v>2201.6806160000001</v>
      </c>
      <c r="P67" s="194">
        <f t="shared" si="11"/>
        <v>0</v>
      </c>
      <c r="Q67" s="193"/>
      <c r="R67" s="193"/>
      <c r="S67" s="193"/>
      <c r="T67" s="193"/>
      <c r="U67" s="193">
        <f t="shared" si="12"/>
        <v>0</v>
      </c>
      <c r="V67" s="193"/>
      <c r="W67" s="193"/>
      <c r="X67" s="193"/>
      <c r="Y67" s="193"/>
      <c r="Z67" s="193"/>
      <c r="AA67" s="193"/>
      <c r="AB67" s="195"/>
      <c r="AC67" s="195">
        <f>O67/D67%</f>
        <v>110.08397575801213</v>
      </c>
      <c r="AD67" s="195"/>
      <c r="AE67" s="195"/>
    </row>
    <row r="68" spans="1:31" s="155" customFormat="1" ht="34.5" customHeight="1" x14ac:dyDescent="0.3">
      <c r="A68" s="196" t="s">
        <v>516</v>
      </c>
      <c r="B68" s="203" t="s">
        <v>416</v>
      </c>
      <c r="C68" s="193">
        <f t="shared" si="8"/>
        <v>0</v>
      </c>
      <c r="D68" s="193"/>
      <c r="E68" s="193">
        <f t="shared" si="9"/>
        <v>0</v>
      </c>
      <c r="F68" s="193"/>
      <c r="G68" s="193"/>
      <c r="H68" s="193"/>
      <c r="I68" s="193"/>
      <c r="J68" s="193"/>
      <c r="K68" s="193">
        <f t="shared" si="6"/>
        <v>0</v>
      </c>
      <c r="L68" s="193"/>
      <c r="M68" s="193"/>
      <c r="N68" s="193">
        <f t="shared" si="10"/>
        <v>3674.9975709999999</v>
      </c>
      <c r="O68" s="193">
        <v>3674.9975709999999</v>
      </c>
      <c r="P68" s="194">
        <f t="shared" si="11"/>
        <v>0</v>
      </c>
      <c r="Q68" s="193"/>
      <c r="R68" s="193"/>
      <c r="S68" s="193"/>
      <c r="T68" s="193"/>
      <c r="U68" s="193">
        <f t="shared" si="12"/>
        <v>0</v>
      </c>
      <c r="V68" s="193"/>
      <c r="W68" s="193"/>
      <c r="X68" s="193"/>
      <c r="Y68" s="193"/>
      <c r="Z68" s="193"/>
      <c r="AA68" s="193"/>
      <c r="AB68" s="195"/>
      <c r="AC68" s="195"/>
      <c r="AD68" s="195"/>
      <c r="AE68" s="195"/>
    </row>
    <row r="69" spans="1:31" s="155" customFormat="1" ht="39.75" customHeight="1" x14ac:dyDescent="0.3">
      <c r="A69" s="196" t="s">
        <v>517</v>
      </c>
      <c r="B69" s="204" t="s">
        <v>417</v>
      </c>
      <c r="C69" s="193">
        <f t="shared" si="8"/>
        <v>11342</v>
      </c>
      <c r="D69" s="193"/>
      <c r="E69" s="193">
        <f t="shared" si="9"/>
        <v>11342</v>
      </c>
      <c r="F69" s="193"/>
      <c r="G69" s="193"/>
      <c r="H69" s="193">
        <v>11342</v>
      </c>
      <c r="I69" s="193"/>
      <c r="J69" s="193"/>
      <c r="K69" s="193">
        <f t="shared" si="6"/>
        <v>0</v>
      </c>
      <c r="L69" s="193"/>
      <c r="M69" s="193"/>
      <c r="N69" s="193">
        <f t="shared" si="10"/>
        <v>5000</v>
      </c>
      <c r="O69" s="193">
        <v>5000</v>
      </c>
      <c r="P69" s="194">
        <f t="shared" si="11"/>
        <v>0</v>
      </c>
      <c r="Q69" s="193"/>
      <c r="R69" s="193"/>
      <c r="S69" s="193"/>
      <c r="T69" s="193"/>
      <c r="U69" s="193">
        <f t="shared" si="12"/>
        <v>0</v>
      </c>
      <c r="V69" s="193"/>
      <c r="W69" s="193"/>
      <c r="X69" s="193"/>
      <c r="Y69" s="193"/>
      <c r="Z69" s="193"/>
      <c r="AA69" s="193"/>
      <c r="AB69" s="195"/>
      <c r="AC69" s="195"/>
      <c r="AD69" s="195"/>
      <c r="AE69" s="195"/>
    </row>
    <row r="70" spans="1:31" s="155" customFormat="1" ht="41.25" customHeight="1" x14ac:dyDescent="0.3">
      <c r="A70" s="196" t="s">
        <v>518</v>
      </c>
      <c r="B70" s="201" t="s">
        <v>418</v>
      </c>
      <c r="C70" s="193">
        <f t="shared" si="8"/>
        <v>0</v>
      </c>
      <c r="D70" s="193"/>
      <c r="E70" s="193">
        <f t="shared" si="9"/>
        <v>0</v>
      </c>
      <c r="F70" s="193"/>
      <c r="G70" s="193"/>
      <c r="H70" s="193"/>
      <c r="I70" s="193"/>
      <c r="J70" s="193"/>
      <c r="K70" s="193">
        <f t="shared" si="6"/>
        <v>0</v>
      </c>
      <c r="L70" s="193"/>
      <c r="M70" s="193"/>
      <c r="N70" s="193">
        <f t="shared" si="10"/>
        <v>3520.0270000000005</v>
      </c>
      <c r="O70" s="193">
        <v>3520.0270000000005</v>
      </c>
      <c r="P70" s="194">
        <f t="shared" si="11"/>
        <v>0</v>
      </c>
      <c r="Q70" s="193"/>
      <c r="R70" s="193"/>
      <c r="S70" s="193"/>
      <c r="T70" s="193"/>
      <c r="U70" s="193">
        <f t="shared" si="12"/>
        <v>0</v>
      </c>
      <c r="V70" s="193"/>
      <c r="W70" s="193"/>
      <c r="X70" s="193"/>
      <c r="Y70" s="193"/>
      <c r="Z70" s="193"/>
      <c r="AA70" s="193"/>
      <c r="AB70" s="195"/>
      <c r="AC70" s="195"/>
      <c r="AD70" s="195"/>
      <c r="AE70" s="195"/>
    </row>
    <row r="71" spans="1:31" s="155" customFormat="1" ht="41.25" customHeight="1" x14ac:dyDescent="0.3">
      <c r="A71" s="196" t="s">
        <v>519</v>
      </c>
      <c r="B71" s="201" t="s">
        <v>419</v>
      </c>
      <c r="C71" s="193">
        <f t="shared" si="8"/>
        <v>6000</v>
      </c>
      <c r="D71" s="193">
        <v>6000</v>
      </c>
      <c r="E71" s="193">
        <f t="shared" si="9"/>
        <v>0</v>
      </c>
      <c r="F71" s="193"/>
      <c r="G71" s="193"/>
      <c r="H71" s="193"/>
      <c r="I71" s="193"/>
      <c r="J71" s="193"/>
      <c r="K71" s="193">
        <f t="shared" si="6"/>
        <v>0</v>
      </c>
      <c r="L71" s="193"/>
      <c r="M71" s="193"/>
      <c r="N71" s="193">
        <f t="shared" si="10"/>
        <v>5935.0619999999999</v>
      </c>
      <c r="O71" s="193">
        <v>5935.0619999999999</v>
      </c>
      <c r="P71" s="194">
        <f t="shared" si="11"/>
        <v>0</v>
      </c>
      <c r="Q71" s="193"/>
      <c r="R71" s="193"/>
      <c r="S71" s="193"/>
      <c r="T71" s="193"/>
      <c r="U71" s="193">
        <f t="shared" si="12"/>
        <v>0</v>
      </c>
      <c r="V71" s="193"/>
      <c r="W71" s="193"/>
      <c r="X71" s="193"/>
      <c r="Y71" s="193"/>
      <c r="Z71" s="193"/>
      <c r="AA71" s="193"/>
      <c r="AB71" s="195"/>
      <c r="AC71" s="195">
        <f>O71/D71%</f>
        <v>98.917699999999996</v>
      </c>
      <c r="AD71" s="195"/>
      <c r="AE71" s="195"/>
    </row>
    <row r="72" spans="1:31" s="155" customFormat="1" ht="39.75" customHeight="1" x14ac:dyDescent="0.3">
      <c r="A72" s="196" t="s">
        <v>520</v>
      </c>
      <c r="B72" s="201" t="s">
        <v>420</v>
      </c>
      <c r="C72" s="193">
        <f t="shared" si="8"/>
        <v>0</v>
      </c>
      <c r="D72" s="193"/>
      <c r="E72" s="193">
        <f t="shared" si="9"/>
        <v>0</v>
      </c>
      <c r="F72" s="193"/>
      <c r="G72" s="193"/>
      <c r="H72" s="193"/>
      <c r="I72" s="193"/>
      <c r="J72" s="193"/>
      <c r="K72" s="193">
        <f t="shared" si="6"/>
        <v>0</v>
      </c>
      <c r="L72" s="193"/>
      <c r="M72" s="193"/>
      <c r="N72" s="193">
        <f t="shared" si="10"/>
        <v>7820</v>
      </c>
      <c r="O72" s="193">
        <v>7820</v>
      </c>
      <c r="P72" s="194">
        <f t="shared" si="11"/>
        <v>0</v>
      </c>
      <c r="Q72" s="193"/>
      <c r="R72" s="193"/>
      <c r="S72" s="193"/>
      <c r="T72" s="193"/>
      <c r="U72" s="193">
        <f t="shared" si="12"/>
        <v>0</v>
      </c>
      <c r="V72" s="193"/>
      <c r="W72" s="193"/>
      <c r="X72" s="193"/>
      <c r="Y72" s="193"/>
      <c r="Z72" s="193"/>
      <c r="AA72" s="193"/>
      <c r="AB72" s="195"/>
      <c r="AC72" s="195"/>
      <c r="AD72" s="195"/>
      <c r="AE72" s="195"/>
    </row>
    <row r="73" spans="1:31" s="155" customFormat="1" ht="24.75" customHeight="1" x14ac:dyDescent="0.3">
      <c r="A73" s="196" t="s">
        <v>521</v>
      </c>
      <c r="B73" s="201" t="s">
        <v>421</v>
      </c>
      <c r="C73" s="193">
        <f t="shared" si="8"/>
        <v>0</v>
      </c>
      <c r="D73" s="193"/>
      <c r="E73" s="193">
        <f t="shared" si="9"/>
        <v>0</v>
      </c>
      <c r="F73" s="193"/>
      <c r="G73" s="193"/>
      <c r="H73" s="193"/>
      <c r="I73" s="193"/>
      <c r="J73" s="193"/>
      <c r="K73" s="193">
        <f t="shared" si="6"/>
        <v>0</v>
      </c>
      <c r="L73" s="193"/>
      <c r="M73" s="193"/>
      <c r="N73" s="193">
        <f t="shared" si="10"/>
        <v>25.413</v>
      </c>
      <c r="O73" s="193">
        <v>25.413</v>
      </c>
      <c r="P73" s="194">
        <f t="shared" si="11"/>
        <v>0</v>
      </c>
      <c r="Q73" s="193"/>
      <c r="R73" s="193"/>
      <c r="S73" s="193"/>
      <c r="T73" s="193"/>
      <c r="U73" s="193">
        <f t="shared" si="12"/>
        <v>0</v>
      </c>
      <c r="V73" s="193"/>
      <c r="W73" s="193"/>
      <c r="X73" s="193"/>
      <c r="Y73" s="193"/>
      <c r="Z73" s="193"/>
      <c r="AA73" s="193"/>
      <c r="AB73" s="195"/>
      <c r="AC73" s="195"/>
      <c r="AD73" s="195"/>
      <c r="AE73" s="195"/>
    </row>
    <row r="74" spans="1:31" s="155" customFormat="1" ht="43.5" customHeight="1" x14ac:dyDescent="0.3">
      <c r="A74" s="196" t="s">
        <v>522</v>
      </c>
      <c r="B74" s="201" t="s">
        <v>422</v>
      </c>
      <c r="C74" s="193">
        <f t="shared" si="8"/>
        <v>0</v>
      </c>
      <c r="D74" s="193"/>
      <c r="E74" s="193">
        <f t="shared" si="9"/>
        <v>0</v>
      </c>
      <c r="F74" s="193"/>
      <c r="G74" s="193"/>
      <c r="H74" s="193"/>
      <c r="I74" s="193"/>
      <c r="J74" s="193"/>
      <c r="K74" s="193">
        <f t="shared" si="6"/>
        <v>0</v>
      </c>
      <c r="L74" s="193"/>
      <c r="M74" s="193"/>
      <c r="N74" s="193">
        <f t="shared" si="10"/>
        <v>1294.7341339999998</v>
      </c>
      <c r="O74" s="193">
        <v>1294.7341339999998</v>
      </c>
      <c r="P74" s="194">
        <f t="shared" si="11"/>
        <v>0</v>
      </c>
      <c r="Q74" s="193"/>
      <c r="R74" s="193"/>
      <c r="S74" s="193"/>
      <c r="T74" s="193"/>
      <c r="U74" s="193">
        <f t="shared" si="12"/>
        <v>0</v>
      </c>
      <c r="V74" s="193"/>
      <c r="W74" s="193"/>
      <c r="X74" s="193"/>
      <c r="Y74" s="193"/>
      <c r="Z74" s="193"/>
      <c r="AA74" s="193"/>
      <c r="AB74" s="195"/>
      <c r="AC74" s="195"/>
      <c r="AD74" s="195"/>
      <c r="AE74" s="195"/>
    </row>
    <row r="75" spans="1:31" s="155" customFormat="1" ht="32.25" customHeight="1" x14ac:dyDescent="0.3">
      <c r="A75" s="196" t="s">
        <v>523</v>
      </c>
      <c r="B75" s="201" t="s">
        <v>423</v>
      </c>
      <c r="C75" s="193">
        <f t="shared" si="8"/>
        <v>25509.671999999999</v>
      </c>
      <c r="D75" s="193">
        <v>25509.671999999999</v>
      </c>
      <c r="E75" s="193">
        <f t="shared" si="9"/>
        <v>0</v>
      </c>
      <c r="F75" s="193"/>
      <c r="G75" s="193"/>
      <c r="H75" s="193"/>
      <c r="I75" s="193"/>
      <c r="J75" s="193"/>
      <c r="K75" s="193">
        <f t="shared" si="6"/>
        <v>0</v>
      </c>
      <c r="L75" s="193"/>
      <c r="M75" s="193"/>
      <c r="N75" s="193">
        <f t="shared" si="10"/>
        <v>31343.548643999999</v>
      </c>
      <c r="O75" s="193">
        <v>31343.548643999999</v>
      </c>
      <c r="P75" s="194">
        <f t="shared" si="11"/>
        <v>0</v>
      </c>
      <c r="Q75" s="193"/>
      <c r="R75" s="193"/>
      <c r="S75" s="193"/>
      <c r="T75" s="193"/>
      <c r="U75" s="193">
        <f t="shared" si="12"/>
        <v>0</v>
      </c>
      <c r="V75" s="193"/>
      <c r="W75" s="193"/>
      <c r="X75" s="193"/>
      <c r="Y75" s="193"/>
      <c r="Z75" s="193"/>
      <c r="AA75" s="193"/>
      <c r="AB75" s="195"/>
      <c r="AC75" s="195">
        <f>O75/D75%</f>
        <v>122.86927344263776</v>
      </c>
      <c r="AD75" s="195"/>
      <c r="AE75" s="195"/>
    </row>
    <row r="76" spans="1:31" s="155" customFormat="1" ht="42" customHeight="1" x14ac:dyDescent="0.3">
      <c r="A76" s="196" t="s">
        <v>524</v>
      </c>
      <c r="B76" s="201" t="s">
        <v>424</v>
      </c>
      <c r="C76" s="193">
        <f t="shared" si="8"/>
        <v>185591</v>
      </c>
      <c r="D76" s="193">
        <v>185591</v>
      </c>
      <c r="E76" s="193">
        <f t="shared" si="9"/>
        <v>0</v>
      </c>
      <c r="F76" s="193"/>
      <c r="G76" s="193"/>
      <c r="H76" s="193"/>
      <c r="I76" s="193"/>
      <c r="J76" s="193"/>
      <c r="K76" s="193">
        <f t="shared" si="6"/>
        <v>0</v>
      </c>
      <c r="L76" s="193"/>
      <c r="M76" s="193"/>
      <c r="N76" s="193">
        <f t="shared" si="10"/>
        <v>43591.076178000003</v>
      </c>
      <c r="O76" s="193">
        <v>43591.076178000003</v>
      </c>
      <c r="P76" s="194">
        <f t="shared" si="11"/>
        <v>0</v>
      </c>
      <c r="Q76" s="193"/>
      <c r="R76" s="193"/>
      <c r="S76" s="193"/>
      <c r="T76" s="193"/>
      <c r="U76" s="193">
        <f t="shared" si="12"/>
        <v>0</v>
      </c>
      <c r="V76" s="193"/>
      <c r="W76" s="193"/>
      <c r="X76" s="193"/>
      <c r="Y76" s="193"/>
      <c r="Z76" s="193"/>
      <c r="AA76" s="193"/>
      <c r="AB76" s="195"/>
      <c r="AC76" s="195">
        <f>O76/D76%</f>
        <v>23.48771016805772</v>
      </c>
      <c r="AD76" s="195"/>
      <c r="AE76" s="195"/>
    </row>
    <row r="77" spans="1:31" s="155" customFormat="1" ht="24.75" customHeight="1" x14ac:dyDescent="0.3">
      <c r="A77" s="196" t="s">
        <v>525</v>
      </c>
      <c r="B77" s="201" t="s">
        <v>425</v>
      </c>
      <c r="C77" s="193">
        <f t="shared" si="8"/>
        <v>45523.284</v>
      </c>
      <c r="D77" s="193">
        <v>45523.284</v>
      </c>
      <c r="E77" s="193">
        <f t="shared" si="9"/>
        <v>0</v>
      </c>
      <c r="F77" s="193"/>
      <c r="G77" s="193"/>
      <c r="H77" s="193"/>
      <c r="I77" s="193"/>
      <c r="J77" s="193"/>
      <c r="K77" s="193">
        <f t="shared" ref="K77:K115" si="15">L77+M77</f>
        <v>0</v>
      </c>
      <c r="L77" s="193"/>
      <c r="M77" s="193"/>
      <c r="N77" s="193">
        <f t="shared" si="10"/>
        <v>39348.176610000002</v>
      </c>
      <c r="O77" s="193">
        <v>39348.176610000002</v>
      </c>
      <c r="P77" s="194">
        <f t="shared" si="11"/>
        <v>0</v>
      </c>
      <c r="Q77" s="193"/>
      <c r="R77" s="193"/>
      <c r="S77" s="193"/>
      <c r="T77" s="193"/>
      <c r="U77" s="193">
        <f t="shared" si="12"/>
        <v>0</v>
      </c>
      <c r="V77" s="193"/>
      <c r="W77" s="193"/>
      <c r="X77" s="193"/>
      <c r="Y77" s="193"/>
      <c r="Z77" s="193"/>
      <c r="AA77" s="193"/>
      <c r="AB77" s="195"/>
      <c r="AC77" s="195">
        <f>O77/D77%</f>
        <v>86.435276967276792</v>
      </c>
      <c r="AD77" s="195"/>
      <c r="AE77" s="195"/>
    </row>
    <row r="78" spans="1:31" s="155" customFormat="1" ht="24.75" customHeight="1" x14ac:dyDescent="0.3">
      <c r="A78" s="196" t="s">
        <v>526</v>
      </c>
      <c r="B78" s="201" t="s">
        <v>426</v>
      </c>
      <c r="C78" s="193">
        <f t="shared" ref="C78:C115" si="16">D78+E78+I78+J78+K78</f>
        <v>0</v>
      </c>
      <c r="D78" s="193"/>
      <c r="E78" s="193">
        <f t="shared" ref="E78:E89" si="17">F78+G78+H78</f>
        <v>0</v>
      </c>
      <c r="F78" s="193"/>
      <c r="G78" s="193"/>
      <c r="H78" s="193"/>
      <c r="I78" s="193"/>
      <c r="J78" s="193"/>
      <c r="K78" s="193">
        <f t="shared" si="15"/>
        <v>0</v>
      </c>
      <c r="L78" s="193"/>
      <c r="M78" s="193"/>
      <c r="N78" s="193">
        <f t="shared" si="10"/>
        <v>4999.83</v>
      </c>
      <c r="O78" s="193">
        <v>4999.83</v>
      </c>
      <c r="P78" s="194">
        <f t="shared" si="11"/>
        <v>0</v>
      </c>
      <c r="Q78" s="193"/>
      <c r="R78" s="193"/>
      <c r="S78" s="193"/>
      <c r="T78" s="193"/>
      <c r="U78" s="193">
        <f t="shared" si="12"/>
        <v>0</v>
      </c>
      <c r="V78" s="193"/>
      <c r="W78" s="193"/>
      <c r="X78" s="193"/>
      <c r="Y78" s="193"/>
      <c r="Z78" s="193"/>
      <c r="AA78" s="193"/>
      <c r="AB78" s="195"/>
      <c r="AC78" s="195"/>
      <c r="AD78" s="195"/>
      <c r="AE78" s="195"/>
    </row>
    <row r="79" spans="1:31" s="155" customFormat="1" ht="96" customHeight="1" x14ac:dyDescent="0.3">
      <c r="A79" s="196" t="s">
        <v>527</v>
      </c>
      <c r="B79" s="201" t="s">
        <v>427</v>
      </c>
      <c r="C79" s="193">
        <f t="shared" si="16"/>
        <v>13156</v>
      </c>
      <c r="D79" s="193"/>
      <c r="E79" s="193">
        <f t="shared" si="17"/>
        <v>13156</v>
      </c>
      <c r="F79" s="193"/>
      <c r="G79" s="193"/>
      <c r="H79" s="193">
        <f>18747+2918+2821+2075+2287-H84-H85-H86</f>
        <v>13156</v>
      </c>
      <c r="I79" s="193"/>
      <c r="J79" s="193"/>
      <c r="K79" s="193">
        <f t="shared" si="15"/>
        <v>0</v>
      </c>
      <c r="L79" s="193"/>
      <c r="M79" s="193"/>
      <c r="N79" s="193">
        <f t="shared" ref="N79:N89" si="18">O79+P79+S79+T79+U79</f>
        <v>8785.579377</v>
      </c>
      <c r="O79" s="193"/>
      <c r="P79" s="194">
        <f t="shared" si="11"/>
        <v>8785.579377</v>
      </c>
      <c r="Q79" s="193"/>
      <c r="R79" s="193">
        <v>8785.579377</v>
      </c>
      <c r="S79" s="193"/>
      <c r="T79" s="193"/>
      <c r="U79" s="193">
        <f t="shared" si="12"/>
        <v>0</v>
      </c>
      <c r="V79" s="193"/>
      <c r="W79" s="193"/>
      <c r="X79" s="193"/>
      <c r="Y79" s="193"/>
      <c r="Z79" s="193"/>
      <c r="AA79" s="193"/>
      <c r="AB79" s="195"/>
      <c r="AC79" s="195"/>
      <c r="AD79" s="195"/>
      <c r="AE79" s="195"/>
    </row>
    <row r="80" spans="1:31" s="155" customFormat="1" ht="24.75" customHeight="1" x14ac:dyDescent="0.3">
      <c r="A80" s="196" t="s">
        <v>528</v>
      </c>
      <c r="B80" s="201" t="s">
        <v>428</v>
      </c>
      <c r="C80" s="193">
        <f t="shared" si="16"/>
        <v>0</v>
      </c>
      <c r="D80" s="193"/>
      <c r="E80" s="193">
        <f t="shared" si="17"/>
        <v>0</v>
      </c>
      <c r="F80" s="193"/>
      <c r="G80" s="193"/>
      <c r="H80" s="193"/>
      <c r="I80" s="193"/>
      <c r="J80" s="193"/>
      <c r="K80" s="193">
        <f t="shared" si="15"/>
        <v>0</v>
      </c>
      <c r="L80" s="193"/>
      <c r="M80" s="193"/>
      <c r="N80" s="193">
        <f t="shared" si="18"/>
        <v>9699.5</v>
      </c>
      <c r="O80" s="193"/>
      <c r="P80" s="194">
        <f t="shared" si="11"/>
        <v>9699.5</v>
      </c>
      <c r="Q80" s="193"/>
      <c r="R80" s="193">
        <v>9699.5</v>
      </c>
      <c r="S80" s="193"/>
      <c r="T80" s="193"/>
      <c r="U80" s="193">
        <f t="shared" si="12"/>
        <v>0</v>
      </c>
      <c r="V80" s="193"/>
      <c r="W80" s="193"/>
      <c r="X80" s="193"/>
      <c r="Y80" s="193"/>
      <c r="Z80" s="193"/>
      <c r="AA80" s="193"/>
      <c r="AB80" s="195"/>
      <c r="AC80" s="195"/>
      <c r="AD80" s="195"/>
      <c r="AE80" s="195"/>
    </row>
    <row r="81" spans="1:31" s="155" customFormat="1" ht="24.75" customHeight="1" x14ac:dyDescent="0.3">
      <c r="A81" s="196" t="s">
        <v>529</v>
      </c>
      <c r="B81" s="201" t="s">
        <v>429</v>
      </c>
      <c r="C81" s="193">
        <f t="shared" si="16"/>
        <v>0</v>
      </c>
      <c r="D81" s="193"/>
      <c r="E81" s="193">
        <f t="shared" si="17"/>
        <v>0</v>
      </c>
      <c r="F81" s="193"/>
      <c r="G81" s="193"/>
      <c r="H81" s="193"/>
      <c r="I81" s="193"/>
      <c r="J81" s="193"/>
      <c r="K81" s="193">
        <f t="shared" si="15"/>
        <v>0</v>
      </c>
      <c r="L81" s="193"/>
      <c r="M81" s="193"/>
      <c r="N81" s="193">
        <f t="shared" si="18"/>
        <v>11048</v>
      </c>
      <c r="O81" s="193"/>
      <c r="P81" s="194">
        <f t="shared" ref="P81:P89" si="19">Q81+R81</f>
        <v>11048</v>
      </c>
      <c r="Q81" s="193"/>
      <c r="R81" s="193">
        <v>11048</v>
      </c>
      <c r="S81" s="193"/>
      <c r="T81" s="193"/>
      <c r="U81" s="193">
        <f t="shared" si="12"/>
        <v>0</v>
      </c>
      <c r="V81" s="193"/>
      <c r="W81" s="193"/>
      <c r="X81" s="193"/>
      <c r="Y81" s="193"/>
      <c r="Z81" s="193"/>
      <c r="AA81" s="193"/>
      <c r="AB81" s="195"/>
      <c r="AC81" s="195"/>
      <c r="AD81" s="195"/>
      <c r="AE81" s="195"/>
    </row>
    <row r="82" spans="1:31" s="155" customFormat="1" ht="24.75" customHeight="1" x14ac:dyDescent="0.3">
      <c r="A82" s="196" t="s">
        <v>530</v>
      </c>
      <c r="B82" s="203" t="s">
        <v>430</v>
      </c>
      <c r="C82" s="193">
        <f t="shared" si="16"/>
        <v>106964</v>
      </c>
      <c r="D82" s="193"/>
      <c r="E82" s="193">
        <f t="shared" si="17"/>
        <v>106964</v>
      </c>
      <c r="F82" s="193"/>
      <c r="G82" s="193"/>
      <c r="H82" s="193">
        <f>83651+11957+4335+7021</f>
        <v>106964</v>
      </c>
      <c r="I82" s="193"/>
      <c r="J82" s="193"/>
      <c r="K82" s="193">
        <f t="shared" si="15"/>
        <v>0</v>
      </c>
      <c r="L82" s="193"/>
      <c r="M82" s="193"/>
      <c r="N82" s="193">
        <f t="shared" si="18"/>
        <v>254023.8</v>
      </c>
      <c r="O82" s="193"/>
      <c r="P82" s="194">
        <f t="shared" si="19"/>
        <v>254023.8</v>
      </c>
      <c r="Q82" s="193"/>
      <c r="R82" s="193">
        <v>254023.8</v>
      </c>
      <c r="S82" s="193"/>
      <c r="T82" s="193"/>
      <c r="U82" s="193">
        <f t="shared" si="12"/>
        <v>0</v>
      </c>
      <c r="V82" s="193"/>
      <c r="W82" s="193"/>
      <c r="X82" s="193"/>
      <c r="Y82" s="193"/>
      <c r="Z82" s="193"/>
      <c r="AA82" s="193"/>
      <c r="AB82" s="195"/>
      <c r="AC82" s="195"/>
      <c r="AD82" s="195"/>
      <c r="AE82" s="195"/>
    </row>
    <row r="83" spans="1:31" s="155" customFormat="1" ht="24.75" customHeight="1" x14ac:dyDescent="0.3">
      <c r="A83" s="196" t="s">
        <v>531</v>
      </c>
      <c r="B83" s="201" t="s">
        <v>431</v>
      </c>
      <c r="C83" s="193">
        <f t="shared" si="16"/>
        <v>1823.807</v>
      </c>
      <c r="D83" s="193">
        <v>1778.807</v>
      </c>
      <c r="E83" s="193">
        <f t="shared" si="17"/>
        <v>45</v>
      </c>
      <c r="F83" s="193"/>
      <c r="G83" s="193"/>
      <c r="H83" s="193">
        <v>45</v>
      </c>
      <c r="I83" s="193"/>
      <c r="J83" s="193"/>
      <c r="K83" s="193">
        <f t="shared" si="15"/>
        <v>0</v>
      </c>
      <c r="L83" s="193"/>
      <c r="M83" s="193"/>
      <c r="N83" s="193">
        <f t="shared" si="18"/>
        <v>1778.807</v>
      </c>
      <c r="O83" s="193">
        <v>1778.807</v>
      </c>
      <c r="P83" s="194">
        <f t="shared" si="19"/>
        <v>0</v>
      </c>
      <c r="Q83" s="193"/>
      <c r="R83" s="193"/>
      <c r="S83" s="193"/>
      <c r="T83" s="193"/>
      <c r="U83" s="193">
        <f t="shared" si="12"/>
        <v>0</v>
      </c>
      <c r="V83" s="193"/>
      <c r="W83" s="193"/>
      <c r="X83" s="193"/>
      <c r="Y83" s="193"/>
      <c r="Z83" s="193"/>
      <c r="AA83" s="193"/>
      <c r="AB83" s="195"/>
      <c r="AC83" s="195">
        <f t="shared" ref="AC83:AC100" si="20">O83/D83%</f>
        <v>100</v>
      </c>
      <c r="AD83" s="195"/>
      <c r="AE83" s="195"/>
    </row>
    <row r="84" spans="1:31" s="155" customFormat="1" ht="24.75" customHeight="1" x14ac:dyDescent="0.3">
      <c r="A84" s="196" t="s">
        <v>532</v>
      </c>
      <c r="B84" s="201" t="s">
        <v>432</v>
      </c>
      <c r="C84" s="193">
        <f t="shared" si="16"/>
        <v>7264</v>
      </c>
      <c r="D84" s="193"/>
      <c r="E84" s="193">
        <f t="shared" si="17"/>
        <v>7264</v>
      </c>
      <c r="F84" s="193"/>
      <c r="G84" s="193"/>
      <c r="H84" s="193">
        <v>7264</v>
      </c>
      <c r="I84" s="193"/>
      <c r="J84" s="193"/>
      <c r="K84" s="193">
        <f t="shared" si="15"/>
        <v>0</v>
      </c>
      <c r="L84" s="193"/>
      <c r="M84" s="193"/>
      <c r="N84" s="193">
        <f t="shared" si="18"/>
        <v>5312.1288409999997</v>
      </c>
      <c r="O84" s="193"/>
      <c r="P84" s="194">
        <f t="shared" si="19"/>
        <v>5312.1288409999997</v>
      </c>
      <c r="Q84" s="193"/>
      <c r="R84" s="193">
        <v>5312.1288409999997</v>
      </c>
      <c r="S84" s="193"/>
      <c r="T84" s="193"/>
      <c r="U84" s="193">
        <f t="shared" si="12"/>
        <v>0</v>
      </c>
      <c r="V84" s="193"/>
      <c r="W84" s="193"/>
      <c r="X84" s="193"/>
      <c r="Y84" s="193"/>
      <c r="Z84" s="193"/>
      <c r="AA84" s="193"/>
      <c r="AB84" s="195"/>
      <c r="AC84" s="195"/>
      <c r="AD84" s="195"/>
      <c r="AE84" s="195"/>
    </row>
    <row r="85" spans="1:31" s="155" customFormat="1" ht="24.75" customHeight="1" x14ac:dyDescent="0.3">
      <c r="A85" s="196" t="s">
        <v>533</v>
      </c>
      <c r="B85" s="201" t="s">
        <v>433</v>
      </c>
      <c r="C85" s="193">
        <f>D85+E85+I85+J85+K85</f>
        <v>5182</v>
      </c>
      <c r="D85" s="193"/>
      <c r="E85" s="193">
        <f>F85+G85+H85</f>
        <v>5182</v>
      </c>
      <c r="F85" s="193"/>
      <c r="G85" s="193"/>
      <c r="H85" s="193">
        <v>5182</v>
      </c>
      <c r="I85" s="193"/>
      <c r="J85" s="193"/>
      <c r="K85" s="193">
        <f>L85+M85</f>
        <v>0</v>
      </c>
      <c r="L85" s="193"/>
      <c r="M85" s="193"/>
      <c r="N85" s="193">
        <f>O85+P85+S85+T85+U85</f>
        <v>4697.3850869999997</v>
      </c>
      <c r="O85" s="193"/>
      <c r="P85" s="194">
        <f>Q85+R85</f>
        <v>4697.3850869999997</v>
      </c>
      <c r="Q85" s="193"/>
      <c r="R85" s="193">
        <v>4697.3850869999997</v>
      </c>
      <c r="S85" s="193"/>
      <c r="T85" s="193"/>
      <c r="U85" s="193">
        <f>V85+W85</f>
        <v>0</v>
      </c>
      <c r="V85" s="193"/>
      <c r="W85" s="193"/>
      <c r="X85" s="193"/>
      <c r="Y85" s="193"/>
      <c r="Z85" s="193"/>
      <c r="AA85" s="193"/>
      <c r="AB85" s="195"/>
      <c r="AC85" s="195"/>
      <c r="AD85" s="195"/>
      <c r="AE85" s="195"/>
    </row>
    <row r="86" spans="1:31" s="155" customFormat="1" ht="24.75" customHeight="1" x14ac:dyDescent="0.3">
      <c r="A86" s="196" t="s">
        <v>534</v>
      </c>
      <c r="B86" s="201" t="s">
        <v>434</v>
      </c>
      <c r="C86" s="193">
        <f>D86+E86+I86+J86+K86</f>
        <v>3246</v>
      </c>
      <c r="D86" s="193"/>
      <c r="E86" s="193">
        <f>F86+G86+H86</f>
        <v>3246</v>
      </c>
      <c r="F86" s="193"/>
      <c r="G86" s="193"/>
      <c r="H86" s="193">
        <v>3246</v>
      </c>
      <c r="I86" s="193"/>
      <c r="J86" s="193"/>
      <c r="K86" s="193">
        <f>L86+M86</f>
        <v>0</v>
      </c>
      <c r="L86" s="193"/>
      <c r="M86" s="193"/>
      <c r="N86" s="193">
        <f>O86+P86+S86+T86+U86</f>
        <v>2488.8309960000001</v>
      </c>
      <c r="O86" s="193"/>
      <c r="P86" s="194">
        <f>Q86+R86</f>
        <v>2488.8309960000001</v>
      </c>
      <c r="Q86" s="193"/>
      <c r="R86" s="193">
        <v>2488.8309960000001</v>
      </c>
      <c r="S86" s="193"/>
      <c r="T86" s="193"/>
      <c r="U86" s="193">
        <f>V86+W86</f>
        <v>0</v>
      </c>
      <c r="V86" s="193"/>
      <c r="W86" s="193"/>
      <c r="X86" s="193"/>
      <c r="Y86" s="193"/>
      <c r="Z86" s="193"/>
      <c r="AA86" s="193"/>
      <c r="AB86" s="195"/>
      <c r="AC86" s="195"/>
      <c r="AD86" s="195"/>
      <c r="AE86" s="195"/>
    </row>
    <row r="87" spans="1:31" s="155" customFormat="1" ht="24.75" customHeight="1" x14ac:dyDescent="0.3">
      <c r="A87" s="196" t="s">
        <v>535</v>
      </c>
      <c r="B87" s="201" t="s">
        <v>435</v>
      </c>
      <c r="C87" s="193">
        <f>D87+E87+I87+J87+K87</f>
        <v>955</v>
      </c>
      <c r="D87" s="193"/>
      <c r="E87" s="193">
        <f>F87+G87+H87</f>
        <v>955</v>
      </c>
      <c r="F87" s="193"/>
      <c r="G87" s="193"/>
      <c r="H87" s="193">
        <v>955</v>
      </c>
      <c r="I87" s="193"/>
      <c r="J87" s="193"/>
      <c r="K87" s="193">
        <f>L87+M87</f>
        <v>0</v>
      </c>
      <c r="L87" s="193"/>
      <c r="M87" s="193"/>
      <c r="N87" s="193">
        <f>O87+P87+S87+T87+U87</f>
        <v>0</v>
      </c>
      <c r="O87" s="193"/>
      <c r="P87" s="194"/>
      <c r="Q87" s="193"/>
      <c r="R87" s="193">
        <v>2489.8309960000001</v>
      </c>
      <c r="S87" s="193"/>
      <c r="T87" s="193"/>
      <c r="U87" s="193">
        <f>V87+W87</f>
        <v>0</v>
      </c>
      <c r="V87" s="193"/>
      <c r="W87" s="193"/>
      <c r="X87" s="193"/>
      <c r="Y87" s="193"/>
      <c r="Z87" s="193"/>
      <c r="AA87" s="193"/>
      <c r="AB87" s="195"/>
      <c r="AC87" s="195"/>
      <c r="AD87" s="195"/>
      <c r="AE87" s="195"/>
    </row>
    <row r="88" spans="1:31" s="155" customFormat="1" ht="49.5" customHeight="1" x14ac:dyDescent="0.3">
      <c r="A88" s="196" t="s">
        <v>536</v>
      </c>
      <c r="B88" s="201" t="s">
        <v>436</v>
      </c>
      <c r="C88" s="193">
        <f>D88+E88+I88+J88+K88</f>
        <v>2623</v>
      </c>
      <c r="D88" s="193"/>
      <c r="E88" s="193">
        <f>F88+G88+H88</f>
        <v>2623</v>
      </c>
      <c r="F88" s="193"/>
      <c r="G88" s="193"/>
      <c r="H88" s="193">
        <f>291+1438+780+114</f>
        <v>2623</v>
      </c>
      <c r="I88" s="193"/>
      <c r="J88" s="193"/>
      <c r="K88" s="193"/>
      <c r="L88" s="193"/>
      <c r="M88" s="193"/>
      <c r="N88" s="193"/>
      <c r="O88" s="193"/>
      <c r="P88" s="194"/>
      <c r="Q88" s="193"/>
      <c r="R88" s="193"/>
      <c r="S88" s="193"/>
      <c r="T88" s="193"/>
      <c r="U88" s="193"/>
      <c r="V88" s="193"/>
      <c r="W88" s="193"/>
      <c r="X88" s="193"/>
      <c r="Y88" s="193"/>
      <c r="Z88" s="193"/>
      <c r="AA88" s="193"/>
      <c r="AB88" s="195"/>
      <c r="AC88" s="195"/>
      <c r="AD88" s="195"/>
      <c r="AE88" s="195"/>
    </row>
    <row r="89" spans="1:31" s="155" customFormat="1" ht="37.5" customHeight="1" x14ac:dyDescent="0.3">
      <c r="A89" s="196" t="s">
        <v>537</v>
      </c>
      <c r="B89" s="201" t="s">
        <v>437</v>
      </c>
      <c r="C89" s="193">
        <f t="shared" si="16"/>
        <v>149330</v>
      </c>
      <c r="D89" s="193"/>
      <c r="E89" s="193">
        <f t="shared" si="17"/>
        <v>149330</v>
      </c>
      <c r="F89" s="193"/>
      <c r="G89" s="193">
        <v>149330</v>
      </c>
      <c r="H89" s="193"/>
      <c r="I89" s="193"/>
      <c r="J89" s="193"/>
      <c r="K89" s="193">
        <f t="shared" si="15"/>
        <v>0</v>
      </c>
      <c r="L89" s="193"/>
      <c r="M89" s="193"/>
      <c r="N89" s="193">
        <f t="shared" si="18"/>
        <v>15431.826800000001</v>
      </c>
      <c r="O89" s="193"/>
      <c r="P89" s="194">
        <f t="shared" si="19"/>
        <v>15431.826800000001</v>
      </c>
      <c r="Q89" s="193">
        <f>15287.8268+144</f>
        <v>15431.826800000001</v>
      </c>
      <c r="R89" s="193"/>
      <c r="S89" s="193"/>
      <c r="T89" s="193"/>
      <c r="U89" s="193">
        <f t="shared" si="12"/>
        <v>0</v>
      </c>
      <c r="V89" s="193"/>
      <c r="W89" s="193"/>
      <c r="X89" s="193"/>
      <c r="Y89" s="193"/>
      <c r="Z89" s="193"/>
      <c r="AA89" s="193"/>
      <c r="AB89" s="195"/>
      <c r="AC89" s="195"/>
      <c r="AD89" s="195"/>
      <c r="AE89" s="195"/>
    </row>
    <row r="90" spans="1:31" s="151" customFormat="1" ht="58.5" customHeight="1" x14ac:dyDescent="0.3">
      <c r="A90" s="205" t="s">
        <v>438</v>
      </c>
      <c r="B90" s="206" t="s">
        <v>439</v>
      </c>
      <c r="C90" s="187">
        <f t="shared" si="16"/>
        <v>270875.52499999997</v>
      </c>
      <c r="D90" s="187">
        <f>SUM(D91:D101)</f>
        <v>127359.52499999998</v>
      </c>
      <c r="E90" s="187">
        <f>SUM(E91:E100)</f>
        <v>0</v>
      </c>
      <c r="F90" s="187"/>
      <c r="G90" s="187"/>
      <c r="H90" s="187"/>
      <c r="I90" s="187">
        <f>SUM(I91:I100)</f>
        <v>0</v>
      </c>
      <c r="J90" s="187">
        <f>SUM(J91:J100)</f>
        <v>0</v>
      </c>
      <c r="K90" s="187">
        <f t="shared" si="15"/>
        <v>143516</v>
      </c>
      <c r="L90" s="187">
        <f>SUM(L91:L101)</f>
        <v>143516</v>
      </c>
      <c r="M90" s="187">
        <f>SUM(M91:M100)</f>
        <v>0</v>
      </c>
      <c r="N90" s="187">
        <f>O90+P90+S90+T90+U90</f>
        <v>293315.328546</v>
      </c>
      <c r="O90" s="187">
        <f>SUM(O91:O101)</f>
        <v>139320.25277600001</v>
      </c>
      <c r="P90" s="187"/>
      <c r="Q90" s="187"/>
      <c r="R90" s="187"/>
      <c r="S90" s="187"/>
      <c r="T90" s="187"/>
      <c r="U90" s="187">
        <f>SUM(U91:U100)</f>
        <v>153995.07577</v>
      </c>
      <c r="V90" s="187">
        <f>SUM(V91:V101)</f>
        <v>153995.07577</v>
      </c>
      <c r="W90" s="187"/>
      <c r="X90" s="187">
        <f>SUM(X91:X101)</f>
        <v>0</v>
      </c>
      <c r="Y90" s="187">
        <f>SUM(Y91:Y101)</f>
        <v>0</v>
      </c>
      <c r="Z90" s="187">
        <f>SUM(Z91:Z101)</f>
        <v>0</v>
      </c>
      <c r="AA90" s="187"/>
      <c r="AB90" s="195"/>
      <c r="AC90" s="195">
        <f t="shared" si="20"/>
        <v>109.39130997544159</v>
      </c>
      <c r="AD90" s="195"/>
      <c r="AE90" s="195">
        <f t="shared" ref="AE90:AE101" si="21">U90/K90%</f>
        <v>107.30167770144095</v>
      </c>
    </row>
    <row r="91" spans="1:31" s="155" customFormat="1" x14ac:dyDescent="0.3">
      <c r="A91" s="207" t="s">
        <v>321</v>
      </c>
      <c r="B91" s="208" t="s">
        <v>440</v>
      </c>
      <c r="C91" s="193">
        <f t="shared" si="16"/>
        <v>5462.6959999999999</v>
      </c>
      <c r="D91" s="194">
        <v>5462.6959999999999</v>
      </c>
      <c r="E91" s="194"/>
      <c r="F91" s="194"/>
      <c r="G91" s="194"/>
      <c r="H91" s="194"/>
      <c r="I91" s="194"/>
      <c r="J91" s="194"/>
      <c r="K91" s="193">
        <f t="shared" si="15"/>
        <v>0</v>
      </c>
      <c r="L91" s="194"/>
      <c r="M91" s="194"/>
      <c r="N91" s="193">
        <f t="shared" ref="N91:N98" si="22">O91+P91+S91+T91+U91</f>
        <v>6088.7690000000011</v>
      </c>
      <c r="O91" s="194">
        <v>6088.7690000000011</v>
      </c>
      <c r="P91" s="194"/>
      <c r="Q91" s="194"/>
      <c r="R91" s="194"/>
      <c r="S91" s="194"/>
      <c r="T91" s="194"/>
      <c r="U91" s="193">
        <f t="shared" ref="U91:U100" si="23">V91+W91</f>
        <v>0</v>
      </c>
      <c r="V91" s="194"/>
      <c r="W91" s="194"/>
      <c r="X91" s="193">
        <f t="shared" ref="X91:X100" si="24">Y91+Z91</f>
        <v>0</v>
      </c>
      <c r="Y91" s="193"/>
      <c r="Z91" s="193"/>
      <c r="AA91" s="193"/>
      <c r="AB91" s="195"/>
      <c r="AC91" s="195">
        <f t="shared" si="20"/>
        <v>111.46087938995693</v>
      </c>
      <c r="AD91" s="195"/>
      <c r="AE91" s="195"/>
    </row>
    <row r="92" spans="1:31" s="155" customFormat="1" x14ac:dyDescent="0.3">
      <c r="A92" s="207" t="s">
        <v>323</v>
      </c>
      <c r="B92" s="208" t="s">
        <v>441</v>
      </c>
      <c r="C92" s="193">
        <f t="shared" si="16"/>
        <v>9351.8590000000004</v>
      </c>
      <c r="D92" s="194">
        <v>9351.8590000000004</v>
      </c>
      <c r="E92" s="194"/>
      <c r="F92" s="194"/>
      <c r="G92" s="194"/>
      <c r="H92" s="194"/>
      <c r="I92" s="194"/>
      <c r="J92" s="194"/>
      <c r="K92" s="193">
        <f t="shared" si="15"/>
        <v>0</v>
      </c>
      <c r="L92" s="194"/>
      <c r="M92" s="194"/>
      <c r="N92" s="193">
        <f t="shared" si="22"/>
        <v>9824.7289999999994</v>
      </c>
      <c r="O92" s="194">
        <v>9824.7289999999994</v>
      </c>
      <c r="P92" s="194"/>
      <c r="Q92" s="194"/>
      <c r="R92" s="194"/>
      <c r="S92" s="194"/>
      <c r="T92" s="194"/>
      <c r="U92" s="193">
        <f t="shared" si="23"/>
        <v>0</v>
      </c>
      <c r="V92" s="194"/>
      <c r="W92" s="194"/>
      <c r="X92" s="193">
        <f t="shared" si="24"/>
        <v>0</v>
      </c>
      <c r="Y92" s="193"/>
      <c r="Z92" s="193"/>
      <c r="AA92" s="193"/>
      <c r="AB92" s="195"/>
      <c r="AC92" s="195">
        <f t="shared" si="20"/>
        <v>105.05642781825516</v>
      </c>
      <c r="AD92" s="195"/>
      <c r="AE92" s="195"/>
    </row>
    <row r="93" spans="1:31" s="155" customFormat="1" x14ac:dyDescent="0.3">
      <c r="A93" s="207" t="s">
        <v>325</v>
      </c>
      <c r="B93" s="208" t="s">
        <v>442</v>
      </c>
      <c r="C93" s="193">
        <f t="shared" si="16"/>
        <v>37884.425000000003</v>
      </c>
      <c r="D93" s="194">
        <v>17306.424999999999</v>
      </c>
      <c r="E93" s="194"/>
      <c r="F93" s="194"/>
      <c r="G93" s="194"/>
      <c r="H93" s="194"/>
      <c r="I93" s="194"/>
      <c r="J93" s="194"/>
      <c r="K93" s="193">
        <f t="shared" si="15"/>
        <v>20578</v>
      </c>
      <c r="L93" s="194">
        <v>20578</v>
      </c>
      <c r="M93" s="194"/>
      <c r="N93" s="193">
        <f t="shared" si="22"/>
        <v>51013.229999999996</v>
      </c>
      <c r="O93" s="194">
        <v>21764.837</v>
      </c>
      <c r="P93" s="194"/>
      <c r="Q93" s="194"/>
      <c r="R93" s="194"/>
      <c r="S93" s="194"/>
      <c r="T93" s="194"/>
      <c r="U93" s="193">
        <f t="shared" si="23"/>
        <v>29248.393</v>
      </c>
      <c r="V93" s="194">
        <v>29248.393</v>
      </c>
      <c r="W93" s="194"/>
      <c r="X93" s="193">
        <f t="shared" si="24"/>
        <v>0</v>
      </c>
      <c r="Y93" s="193"/>
      <c r="Z93" s="193"/>
      <c r="AA93" s="193"/>
      <c r="AB93" s="195"/>
      <c r="AC93" s="195">
        <f t="shared" si="20"/>
        <v>125.76160009938506</v>
      </c>
      <c r="AD93" s="195"/>
      <c r="AE93" s="195">
        <f t="shared" si="21"/>
        <v>142.13428418699581</v>
      </c>
    </row>
    <row r="94" spans="1:31" s="155" customFormat="1" x14ac:dyDescent="0.3">
      <c r="A94" s="207" t="s">
        <v>327</v>
      </c>
      <c r="B94" s="208" t="s">
        <v>443</v>
      </c>
      <c r="C94" s="193">
        <f t="shared" si="16"/>
        <v>40305.055999999997</v>
      </c>
      <c r="D94" s="194">
        <v>25905.055999999997</v>
      </c>
      <c r="E94" s="194"/>
      <c r="F94" s="194"/>
      <c r="G94" s="194"/>
      <c r="H94" s="194"/>
      <c r="I94" s="194"/>
      <c r="J94" s="194"/>
      <c r="K94" s="193">
        <f t="shared" si="15"/>
        <v>14400</v>
      </c>
      <c r="L94" s="194">
        <v>14400</v>
      </c>
      <c r="M94" s="194"/>
      <c r="N94" s="193">
        <f t="shared" si="22"/>
        <v>50593.817999999999</v>
      </c>
      <c r="O94" s="194">
        <v>36193.817999999999</v>
      </c>
      <c r="P94" s="194"/>
      <c r="Q94" s="194"/>
      <c r="R94" s="194"/>
      <c r="S94" s="194"/>
      <c r="T94" s="194"/>
      <c r="U94" s="193">
        <f t="shared" si="23"/>
        <v>14400</v>
      </c>
      <c r="V94" s="194">
        <v>14400</v>
      </c>
      <c r="W94" s="194"/>
      <c r="X94" s="193">
        <f t="shared" si="24"/>
        <v>0</v>
      </c>
      <c r="Y94" s="193"/>
      <c r="Z94" s="193"/>
      <c r="AA94" s="193"/>
      <c r="AB94" s="195"/>
      <c r="AC94" s="195">
        <f t="shared" si="20"/>
        <v>139.71719651947484</v>
      </c>
      <c r="AD94" s="195"/>
      <c r="AE94" s="195">
        <f t="shared" si="21"/>
        <v>100</v>
      </c>
    </row>
    <row r="95" spans="1:31" s="155" customFormat="1" x14ac:dyDescent="0.3">
      <c r="A95" s="207" t="s">
        <v>329</v>
      </c>
      <c r="B95" s="208" t="s">
        <v>444</v>
      </c>
      <c r="C95" s="193">
        <f t="shared" si="16"/>
        <v>1074</v>
      </c>
      <c r="D95" s="194">
        <v>1074</v>
      </c>
      <c r="E95" s="194"/>
      <c r="F95" s="194"/>
      <c r="G95" s="194"/>
      <c r="H95" s="194"/>
      <c r="I95" s="194"/>
      <c r="J95" s="194"/>
      <c r="K95" s="193">
        <f t="shared" si="15"/>
        <v>0</v>
      </c>
      <c r="L95" s="194"/>
      <c r="M95" s="194"/>
      <c r="N95" s="193">
        <f t="shared" si="22"/>
        <v>1235.3954999999999</v>
      </c>
      <c r="O95" s="194">
        <v>1235.3954999999999</v>
      </c>
      <c r="P95" s="194"/>
      <c r="Q95" s="194"/>
      <c r="R95" s="194"/>
      <c r="S95" s="194"/>
      <c r="T95" s="194"/>
      <c r="U95" s="193">
        <f t="shared" si="23"/>
        <v>0</v>
      </c>
      <c r="V95" s="194"/>
      <c r="W95" s="194"/>
      <c r="X95" s="193">
        <f t="shared" si="24"/>
        <v>0</v>
      </c>
      <c r="Y95" s="193"/>
      <c r="Z95" s="193"/>
      <c r="AA95" s="193"/>
      <c r="AB95" s="195"/>
      <c r="AC95" s="195">
        <f t="shared" si="20"/>
        <v>115.02751396648043</v>
      </c>
      <c r="AD95" s="195"/>
      <c r="AE95" s="195"/>
    </row>
    <row r="96" spans="1:31" s="155" customFormat="1" x14ac:dyDescent="0.3">
      <c r="A96" s="207" t="s">
        <v>331</v>
      </c>
      <c r="B96" s="208" t="s">
        <v>445</v>
      </c>
      <c r="C96" s="193">
        <f t="shared" si="16"/>
        <v>26707.451000000001</v>
      </c>
      <c r="D96" s="194">
        <v>12866.9</v>
      </c>
      <c r="E96" s="194"/>
      <c r="F96" s="194"/>
      <c r="G96" s="194"/>
      <c r="H96" s="194"/>
      <c r="I96" s="194"/>
      <c r="J96" s="194"/>
      <c r="K96" s="193">
        <f t="shared" si="15"/>
        <v>13840.550999999999</v>
      </c>
      <c r="L96" s="194">
        <v>13840.550999999999</v>
      </c>
      <c r="M96" s="194"/>
      <c r="N96" s="193">
        <f t="shared" si="22"/>
        <v>23269.449820999998</v>
      </c>
      <c r="O96" s="194">
        <v>9428.8988209999989</v>
      </c>
      <c r="P96" s="194"/>
      <c r="Q96" s="194"/>
      <c r="R96" s="194"/>
      <c r="S96" s="194"/>
      <c r="T96" s="194"/>
      <c r="U96" s="193">
        <f t="shared" si="23"/>
        <v>13840.550999999999</v>
      </c>
      <c r="V96" s="194">
        <v>13840.550999999999</v>
      </c>
      <c r="W96" s="194"/>
      <c r="X96" s="193">
        <f t="shared" si="24"/>
        <v>0</v>
      </c>
      <c r="Y96" s="193"/>
      <c r="Z96" s="193"/>
      <c r="AA96" s="193"/>
      <c r="AB96" s="195"/>
      <c r="AC96" s="195">
        <f t="shared" si="20"/>
        <v>73.280268137624446</v>
      </c>
      <c r="AD96" s="195"/>
      <c r="AE96" s="195">
        <f t="shared" si="21"/>
        <v>100</v>
      </c>
    </row>
    <row r="97" spans="1:38" s="155" customFormat="1" x14ac:dyDescent="0.3">
      <c r="A97" s="207" t="s">
        <v>333</v>
      </c>
      <c r="B97" s="208" t="s">
        <v>446</v>
      </c>
      <c r="C97" s="193">
        <f t="shared" si="16"/>
        <v>65926</v>
      </c>
      <c r="D97" s="194">
        <v>28849</v>
      </c>
      <c r="E97" s="194"/>
      <c r="F97" s="194"/>
      <c r="G97" s="194"/>
      <c r="H97" s="194"/>
      <c r="I97" s="194"/>
      <c r="J97" s="194"/>
      <c r="K97" s="193">
        <f t="shared" si="15"/>
        <v>37077</v>
      </c>
      <c r="L97" s="194">
        <v>37077</v>
      </c>
      <c r="M97" s="194"/>
      <c r="N97" s="193">
        <f t="shared" si="22"/>
        <v>73786.628955000007</v>
      </c>
      <c r="O97" s="194">
        <v>26533.030185</v>
      </c>
      <c r="P97" s="194"/>
      <c r="Q97" s="194"/>
      <c r="R97" s="194"/>
      <c r="S97" s="194"/>
      <c r="T97" s="194"/>
      <c r="U97" s="193">
        <f t="shared" si="23"/>
        <v>47253.598770000004</v>
      </c>
      <c r="V97" s="194">
        <v>47253.598770000004</v>
      </c>
      <c r="W97" s="194"/>
      <c r="X97" s="193">
        <f t="shared" si="24"/>
        <v>0</v>
      </c>
      <c r="Y97" s="193"/>
      <c r="Z97" s="193"/>
      <c r="AA97" s="193"/>
      <c r="AB97" s="195"/>
      <c r="AC97" s="195">
        <f t="shared" si="20"/>
        <v>91.97209672778952</v>
      </c>
      <c r="AD97" s="195"/>
      <c r="AE97" s="195">
        <f t="shared" si="21"/>
        <v>127.44720114896029</v>
      </c>
      <c r="AI97" s="151"/>
      <c r="AJ97" s="151"/>
      <c r="AK97" s="151"/>
      <c r="AL97" s="151"/>
    </row>
    <row r="98" spans="1:38" s="155" customFormat="1" x14ac:dyDescent="0.3">
      <c r="A98" s="207" t="s">
        <v>335</v>
      </c>
      <c r="B98" s="208" t="s">
        <v>447</v>
      </c>
      <c r="C98" s="193">
        <f t="shared" si="16"/>
        <v>25997.929</v>
      </c>
      <c r="D98" s="194">
        <v>13494.48</v>
      </c>
      <c r="E98" s="194"/>
      <c r="F98" s="194"/>
      <c r="G98" s="194"/>
      <c r="H98" s="194"/>
      <c r="I98" s="194"/>
      <c r="J98" s="194"/>
      <c r="K98" s="193">
        <f t="shared" si="15"/>
        <v>12503.449000000001</v>
      </c>
      <c r="L98" s="194">
        <v>12503.449000000001</v>
      </c>
      <c r="M98" s="194"/>
      <c r="N98" s="193">
        <f t="shared" si="22"/>
        <v>25200.744999999999</v>
      </c>
      <c r="O98" s="194">
        <v>12697.295999999998</v>
      </c>
      <c r="P98" s="194"/>
      <c r="Q98" s="194"/>
      <c r="R98" s="194"/>
      <c r="S98" s="194"/>
      <c r="T98" s="194"/>
      <c r="U98" s="193">
        <f t="shared" si="23"/>
        <v>12503.449000000001</v>
      </c>
      <c r="V98" s="194">
        <v>12503.449000000001</v>
      </c>
      <c r="W98" s="194"/>
      <c r="X98" s="193">
        <f t="shared" si="24"/>
        <v>0</v>
      </c>
      <c r="Y98" s="193"/>
      <c r="Z98" s="193"/>
      <c r="AA98" s="193"/>
      <c r="AB98" s="195"/>
      <c r="AC98" s="195">
        <f t="shared" si="20"/>
        <v>94.092517829512516</v>
      </c>
      <c r="AD98" s="195"/>
      <c r="AE98" s="195">
        <f t="shared" si="21"/>
        <v>100</v>
      </c>
      <c r="AI98" s="151"/>
      <c r="AJ98" s="151"/>
      <c r="AK98" s="151"/>
      <c r="AL98" s="151"/>
    </row>
    <row r="99" spans="1:38" s="155" customFormat="1" x14ac:dyDescent="0.3">
      <c r="A99" s="207" t="s">
        <v>337</v>
      </c>
      <c r="B99" s="208" t="s">
        <v>448</v>
      </c>
      <c r="C99" s="193">
        <f>D99+E99+I99+J99+K99</f>
        <v>53937</v>
      </c>
      <c r="D99" s="194">
        <v>12000</v>
      </c>
      <c r="E99" s="194"/>
      <c r="F99" s="194"/>
      <c r="G99" s="194"/>
      <c r="H99" s="194"/>
      <c r="I99" s="194"/>
      <c r="J99" s="194"/>
      <c r="K99" s="193">
        <f t="shared" si="15"/>
        <v>41937</v>
      </c>
      <c r="L99" s="194">
        <v>41937</v>
      </c>
      <c r="M99" s="194"/>
      <c r="N99" s="193">
        <f>O99+P99+S99+T99+U99+X99</f>
        <v>48348.616999999998</v>
      </c>
      <c r="O99" s="194">
        <v>11599.532999999999</v>
      </c>
      <c r="P99" s="194"/>
      <c r="Q99" s="194"/>
      <c r="R99" s="194"/>
      <c r="S99" s="194"/>
      <c r="T99" s="194"/>
      <c r="U99" s="193">
        <f t="shared" si="23"/>
        <v>36749.083999999995</v>
      </c>
      <c r="V99" s="194">
        <v>36749.083999999995</v>
      </c>
      <c r="W99" s="194"/>
      <c r="X99" s="193">
        <f t="shared" si="24"/>
        <v>0</v>
      </c>
      <c r="Y99" s="193"/>
      <c r="Z99" s="193"/>
      <c r="AA99" s="193"/>
      <c r="AB99" s="195"/>
      <c r="AC99" s="195">
        <f t="shared" si="20"/>
        <v>96.662774999999996</v>
      </c>
      <c r="AD99" s="195"/>
      <c r="AE99" s="195">
        <f t="shared" si="21"/>
        <v>87.629262942032085</v>
      </c>
      <c r="AI99" s="151"/>
      <c r="AJ99" s="151"/>
      <c r="AK99" s="151"/>
      <c r="AL99" s="151"/>
    </row>
    <row r="100" spans="1:38" s="155" customFormat="1" x14ac:dyDescent="0.3">
      <c r="A100" s="207" t="s">
        <v>339</v>
      </c>
      <c r="B100" s="208" t="s">
        <v>449</v>
      </c>
      <c r="C100" s="193">
        <f t="shared" si="16"/>
        <v>1049.1089999999999</v>
      </c>
      <c r="D100" s="194">
        <v>1049.1089999999999</v>
      </c>
      <c r="E100" s="194"/>
      <c r="F100" s="194"/>
      <c r="G100" s="194"/>
      <c r="H100" s="194"/>
      <c r="I100" s="194"/>
      <c r="J100" s="194"/>
      <c r="K100" s="193">
        <f t="shared" si="15"/>
        <v>0</v>
      </c>
      <c r="L100" s="194"/>
      <c r="M100" s="194"/>
      <c r="N100" s="193">
        <f>O100+P100+S100+T100+U100+X100</f>
        <v>3953.9462700000099</v>
      </c>
      <c r="O100" s="194">
        <v>3953.9462700000099</v>
      </c>
      <c r="P100" s="194"/>
      <c r="Q100" s="194"/>
      <c r="R100" s="194"/>
      <c r="S100" s="194"/>
      <c r="T100" s="194"/>
      <c r="U100" s="193">
        <f t="shared" si="23"/>
        <v>0</v>
      </c>
      <c r="V100" s="194"/>
      <c r="W100" s="194"/>
      <c r="X100" s="193">
        <f t="shared" si="24"/>
        <v>0</v>
      </c>
      <c r="Y100" s="193"/>
      <c r="Z100" s="193"/>
      <c r="AA100" s="193"/>
      <c r="AB100" s="195"/>
      <c r="AC100" s="195">
        <f t="shared" si="20"/>
        <v>376.88612622711366</v>
      </c>
      <c r="AD100" s="195"/>
      <c r="AE100" s="195"/>
      <c r="AI100" s="151"/>
      <c r="AJ100" s="151"/>
      <c r="AK100" s="151"/>
      <c r="AL100" s="151"/>
    </row>
    <row r="101" spans="1:38" s="155" customFormat="1" x14ac:dyDescent="0.3">
      <c r="A101" s="207" t="s">
        <v>341</v>
      </c>
      <c r="B101" s="208" t="s">
        <v>450</v>
      </c>
      <c r="C101" s="193">
        <f t="shared" si="16"/>
        <v>3180</v>
      </c>
      <c r="D101" s="194"/>
      <c r="E101" s="194"/>
      <c r="F101" s="194"/>
      <c r="G101" s="194"/>
      <c r="H101" s="194"/>
      <c r="I101" s="194"/>
      <c r="J101" s="194"/>
      <c r="K101" s="193">
        <f t="shared" si="15"/>
        <v>3180</v>
      </c>
      <c r="L101" s="194">
        <v>3180</v>
      </c>
      <c r="M101" s="194"/>
      <c r="N101" s="193"/>
      <c r="O101" s="194"/>
      <c r="P101" s="194"/>
      <c r="Q101" s="194"/>
      <c r="R101" s="194"/>
      <c r="S101" s="194"/>
      <c r="T101" s="194"/>
      <c r="U101" s="193"/>
      <c r="V101" s="194"/>
      <c r="W101" s="194"/>
      <c r="X101" s="193"/>
      <c r="Y101" s="193"/>
      <c r="Z101" s="193"/>
      <c r="AA101" s="193"/>
      <c r="AB101" s="195"/>
      <c r="AC101" s="195"/>
      <c r="AD101" s="195"/>
      <c r="AE101" s="195">
        <f t="shared" si="21"/>
        <v>0</v>
      </c>
      <c r="AI101" s="151"/>
      <c r="AJ101" s="151"/>
      <c r="AK101" s="151"/>
      <c r="AL101" s="151"/>
    </row>
    <row r="102" spans="1:38" s="151" customFormat="1" x14ac:dyDescent="0.3">
      <c r="A102" s="205" t="s">
        <v>27</v>
      </c>
      <c r="B102" s="209" t="s">
        <v>451</v>
      </c>
      <c r="C102" s="187">
        <f t="shared" si="16"/>
        <v>131708</v>
      </c>
      <c r="D102" s="210"/>
      <c r="E102" s="210">
        <f>E103+E104+E105+E106+E108+E107+E109</f>
        <v>131708</v>
      </c>
      <c r="F102" s="210">
        <f>F103+F104+F105+F106+F108+F107+F109</f>
        <v>131708</v>
      </c>
      <c r="G102" s="210"/>
      <c r="H102" s="210"/>
      <c r="I102" s="210"/>
      <c r="J102" s="210"/>
      <c r="K102" s="187"/>
      <c r="L102" s="210"/>
      <c r="M102" s="210"/>
      <c r="N102" s="187"/>
      <c r="O102" s="210"/>
      <c r="P102" s="210"/>
      <c r="Q102" s="210"/>
      <c r="R102" s="210"/>
      <c r="S102" s="210"/>
      <c r="T102" s="210"/>
      <c r="U102" s="187"/>
      <c r="V102" s="210"/>
      <c r="W102" s="210"/>
      <c r="X102" s="187"/>
      <c r="Y102" s="187"/>
      <c r="Z102" s="187"/>
      <c r="AA102" s="187"/>
      <c r="AB102" s="195">
        <f t="shared" ref="AB102:AB109" si="25">N102/C102%</f>
        <v>0</v>
      </c>
      <c r="AC102" s="195"/>
      <c r="AD102" s="195">
        <f t="shared" ref="AD102:AD109" si="26">P102/E102%</f>
        <v>0</v>
      </c>
      <c r="AE102" s="195"/>
    </row>
    <row r="103" spans="1:38" s="151" customFormat="1" x14ac:dyDescent="0.3">
      <c r="A103" s="207" t="s">
        <v>321</v>
      </c>
      <c r="B103" s="208" t="s">
        <v>452</v>
      </c>
      <c r="C103" s="193">
        <f t="shared" si="16"/>
        <v>7500</v>
      </c>
      <c r="D103" s="194"/>
      <c r="E103" s="194">
        <f>F103+G103+H103</f>
        <v>7500</v>
      </c>
      <c r="F103" s="194">
        <v>7500</v>
      </c>
      <c r="G103" s="210"/>
      <c r="H103" s="210"/>
      <c r="I103" s="210"/>
      <c r="J103" s="210"/>
      <c r="K103" s="187"/>
      <c r="L103" s="210"/>
      <c r="M103" s="210"/>
      <c r="N103" s="187"/>
      <c r="O103" s="210"/>
      <c r="P103" s="210"/>
      <c r="Q103" s="210"/>
      <c r="R103" s="210"/>
      <c r="S103" s="210"/>
      <c r="T103" s="210"/>
      <c r="U103" s="187"/>
      <c r="V103" s="210"/>
      <c r="W103" s="210"/>
      <c r="X103" s="187"/>
      <c r="Y103" s="187"/>
      <c r="Z103" s="187"/>
      <c r="AA103" s="187"/>
      <c r="AB103" s="195">
        <f t="shared" si="25"/>
        <v>0</v>
      </c>
      <c r="AC103" s="195"/>
      <c r="AD103" s="195">
        <f t="shared" si="26"/>
        <v>0</v>
      </c>
      <c r="AE103" s="195"/>
    </row>
    <row r="104" spans="1:38" s="151" customFormat="1" ht="31.2" x14ac:dyDescent="0.3">
      <c r="A104" s="207" t="s">
        <v>323</v>
      </c>
      <c r="B104" s="208" t="s">
        <v>453</v>
      </c>
      <c r="C104" s="193">
        <f t="shared" si="16"/>
        <v>12545</v>
      </c>
      <c r="D104" s="194"/>
      <c r="E104" s="194">
        <f t="shared" ref="E104:E109" si="27">F104+G104+H104</f>
        <v>12545</v>
      </c>
      <c r="F104" s="194">
        <v>12545</v>
      </c>
      <c r="G104" s="210"/>
      <c r="H104" s="210"/>
      <c r="I104" s="210"/>
      <c r="J104" s="210"/>
      <c r="K104" s="187"/>
      <c r="L104" s="210"/>
      <c r="M104" s="210"/>
      <c r="N104" s="187"/>
      <c r="O104" s="210"/>
      <c r="P104" s="210"/>
      <c r="Q104" s="210"/>
      <c r="R104" s="210"/>
      <c r="S104" s="210"/>
      <c r="T104" s="210"/>
      <c r="U104" s="187"/>
      <c r="V104" s="210"/>
      <c r="W104" s="210"/>
      <c r="X104" s="187"/>
      <c r="Y104" s="187"/>
      <c r="Z104" s="187"/>
      <c r="AA104" s="187"/>
      <c r="AB104" s="195">
        <f t="shared" si="25"/>
        <v>0</v>
      </c>
      <c r="AC104" s="195"/>
      <c r="AD104" s="195">
        <f t="shared" si="26"/>
        <v>0</v>
      </c>
      <c r="AE104" s="195"/>
    </row>
    <row r="105" spans="1:38" s="151" customFormat="1" x14ac:dyDescent="0.3">
      <c r="A105" s="207" t="s">
        <v>325</v>
      </c>
      <c r="B105" s="208" t="s">
        <v>454</v>
      </c>
      <c r="C105" s="193">
        <f t="shared" si="16"/>
        <v>6000</v>
      </c>
      <c r="D105" s="194"/>
      <c r="E105" s="194">
        <f t="shared" si="27"/>
        <v>6000</v>
      </c>
      <c r="F105" s="194">
        <v>6000</v>
      </c>
      <c r="G105" s="210"/>
      <c r="H105" s="210"/>
      <c r="I105" s="210"/>
      <c r="J105" s="210"/>
      <c r="K105" s="187"/>
      <c r="L105" s="210"/>
      <c r="M105" s="210"/>
      <c r="N105" s="187"/>
      <c r="O105" s="210"/>
      <c r="P105" s="210"/>
      <c r="Q105" s="210"/>
      <c r="R105" s="210"/>
      <c r="S105" s="210"/>
      <c r="T105" s="210"/>
      <c r="U105" s="187"/>
      <c r="V105" s="210"/>
      <c r="W105" s="210"/>
      <c r="X105" s="187"/>
      <c r="Y105" s="187"/>
      <c r="Z105" s="187"/>
      <c r="AA105" s="187"/>
      <c r="AB105" s="195">
        <f t="shared" si="25"/>
        <v>0</v>
      </c>
      <c r="AC105" s="195"/>
      <c r="AD105" s="195">
        <f t="shared" si="26"/>
        <v>0</v>
      </c>
      <c r="AE105" s="195"/>
    </row>
    <row r="106" spans="1:38" s="151" customFormat="1" x14ac:dyDescent="0.3">
      <c r="A106" s="207" t="s">
        <v>327</v>
      </c>
      <c r="B106" s="208" t="s">
        <v>455</v>
      </c>
      <c r="C106" s="193">
        <f t="shared" si="16"/>
        <v>10000</v>
      </c>
      <c r="D106" s="194"/>
      <c r="E106" s="194">
        <f t="shared" si="27"/>
        <v>10000</v>
      </c>
      <c r="F106" s="194">
        <v>10000</v>
      </c>
      <c r="G106" s="210"/>
      <c r="H106" s="210"/>
      <c r="I106" s="210"/>
      <c r="J106" s="210"/>
      <c r="K106" s="187"/>
      <c r="L106" s="210"/>
      <c r="M106" s="210"/>
      <c r="N106" s="187"/>
      <c r="O106" s="210"/>
      <c r="P106" s="210"/>
      <c r="Q106" s="210"/>
      <c r="R106" s="210"/>
      <c r="S106" s="210"/>
      <c r="T106" s="210"/>
      <c r="U106" s="187"/>
      <c r="V106" s="210"/>
      <c r="W106" s="210"/>
      <c r="X106" s="187"/>
      <c r="Y106" s="187"/>
      <c r="Z106" s="187"/>
      <c r="AA106" s="187"/>
      <c r="AB106" s="195">
        <f t="shared" si="25"/>
        <v>0</v>
      </c>
      <c r="AC106" s="195"/>
      <c r="AD106" s="195">
        <f t="shared" si="26"/>
        <v>0</v>
      </c>
      <c r="AE106" s="195"/>
    </row>
    <row r="107" spans="1:38" s="151" customFormat="1" x14ac:dyDescent="0.3">
      <c r="A107" s="207" t="s">
        <v>329</v>
      </c>
      <c r="B107" s="208" t="s">
        <v>456</v>
      </c>
      <c r="C107" s="193">
        <f t="shared" si="16"/>
        <v>15000</v>
      </c>
      <c r="D107" s="194"/>
      <c r="E107" s="194">
        <f t="shared" si="27"/>
        <v>15000</v>
      </c>
      <c r="F107" s="194">
        <v>15000</v>
      </c>
      <c r="G107" s="210"/>
      <c r="H107" s="210"/>
      <c r="I107" s="210"/>
      <c r="J107" s="210"/>
      <c r="K107" s="187"/>
      <c r="L107" s="210"/>
      <c r="M107" s="210"/>
      <c r="N107" s="187"/>
      <c r="O107" s="210"/>
      <c r="P107" s="210"/>
      <c r="Q107" s="210"/>
      <c r="R107" s="210"/>
      <c r="S107" s="210"/>
      <c r="T107" s="210"/>
      <c r="U107" s="187"/>
      <c r="V107" s="210"/>
      <c r="W107" s="210"/>
      <c r="X107" s="187"/>
      <c r="Y107" s="187"/>
      <c r="Z107" s="187"/>
      <c r="AA107" s="187"/>
      <c r="AB107" s="195">
        <f t="shared" si="25"/>
        <v>0</v>
      </c>
      <c r="AC107" s="195"/>
      <c r="AD107" s="195">
        <f t="shared" si="26"/>
        <v>0</v>
      </c>
      <c r="AE107" s="195"/>
    </row>
    <row r="108" spans="1:38" s="151" customFormat="1" x14ac:dyDescent="0.3">
      <c r="A108" s="207" t="s">
        <v>331</v>
      </c>
      <c r="B108" s="208" t="s">
        <v>457</v>
      </c>
      <c r="C108" s="193">
        <f t="shared" si="16"/>
        <v>74090</v>
      </c>
      <c r="D108" s="194"/>
      <c r="E108" s="194">
        <f t="shared" si="27"/>
        <v>74090</v>
      </c>
      <c r="F108" s="194">
        <v>74090</v>
      </c>
      <c r="G108" s="210"/>
      <c r="H108" s="210"/>
      <c r="I108" s="210"/>
      <c r="J108" s="210"/>
      <c r="K108" s="187"/>
      <c r="L108" s="210"/>
      <c r="M108" s="210"/>
      <c r="N108" s="187"/>
      <c r="O108" s="210"/>
      <c r="P108" s="210"/>
      <c r="Q108" s="210"/>
      <c r="R108" s="210"/>
      <c r="S108" s="210"/>
      <c r="T108" s="210"/>
      <c r="U108" s="187"/>
      <c r="V108" s="210"/>
      <c r="W108" s="210"/>
      <c r="X108" s="187"/>
      <c r="Y108" s="187"/>
      <c r="Z108" s="187"/>
      <c r="AA108" s="187"/>
      <c r="AB108" s="195">
        <f t="shared" si="25"/>
        <v>0</v>
      </c>
      <c r="AC108" s="195"/>
      <c r="AD108" s="195">
        <f t="shared" si="26"/>
        <v>0</v>
      </c>
      <c r="AE108" s="195"/>
    </row>
    <row r="109" spans="1:38" s="151" customFormat="1" x14ac:dyDescent="0.3">
      <c r="A109" s="207" t="s">
        <v>333</v>
      </c>
      <c r="B109" s="208" t="s">
        <v>458</v>
      </c>
      <c r="C109" s="193">
        <f t="shared" si="16"/>
        <v>6573</v>
      </c>
      <c r="D109" s="210"/>
      <c r="E109" s="194">
        <f t="shared" si="27"/>
        <v>6573</v>
      </c>
      <c r="F109" s="194">
        <v>6573</v>
      </c>
      <c r="G109" s="210"/>
      <c r="H109" s="210"/>
      <c r="I109" s="210"/>
      <c r="J109" s="210"/>
      <c r="K109" s="187"/>
      <c r="L109" s="210"/>
      <c r="M109" s="210"/>
      <c r="N109" s="187"/>
      <c r="O109" s="210"/>
      <c r="P109" s="210"/>
      <c r="Q109" s="210"/>
      <c r="R109" s="210"/>
      <c r="S109" s="210"/>
      <c r="T109" s="210"/>
      <c r="U109" s="187"/>
      <c r="V109" s="210"/>
      <c r="W109" s="210"/>
      <c r="X109" s="187"/>
      <c r="Y109" s="187"/>
      <c r="Z109" s="187"/>
      <c r="AA109" s="187"/>
      <c r="AB109" s="195">
        <f t="shared" si="25"/>
        <v>0</v>
      </c>
      <c r="AC109" s="195"/>
      <c r="AD109" s="195">
        <f t="shared" si="26"/>
        <v>0</v>
      </c>
      <c r="AE109" s="195"/>
    </row>
    <row r="110" spans="1:38" s="151" customFormat="1" ht="57.75" customHeight="1" x14ac:dyDescent="0.3">
      <c r="A110" s="211" t="s">
        <v>31</v>
      </c>
      <c r="B110" s="212" t="s">
        <v>459</v>
      </c>
      <c r="C110" s="187">
        <f t="shared" si="16"/>
        <v>1300</v>
      </c>
      <c r="D110" s="210"/>
      <c r="E110" s="210"/>
      <c r="F110" s="210"/>
      <c r="G110" s="210"/>
      <c r="H110" s="210"/>
      <c r="I110" s="210">
        <v>1300</v>
      </c>
      <c r="J110" s="210"/>
      <c r="K110" s="187">
        <f t="shared" si="15"/>
        <v>0</v>
      </c>
      <c r="L110" s="210"/>
      <c r="M110" s="210"/>
      <c r="N110" s="187">
        <f>O110+P110+S110+T110+U110+X110</f>
        <v>18520.929</v>
      </c>
      <c r="O110" s="210"/>
      <c r="P110" s="210"/>
      <c r="Q110" s="210"/>
      <c r="R110" s="210"/>
      <c r="S110" s="210">
        <v>18520.929</v>
      </c>
      <c r="T110" s="210"/>
      <c r="U110" s="187">
        <f t="shared" ref="U110:U115" si="28">V110+W110</f>
        <v>0</v>
      </c>
      <c r="V110" s="210"/>
      <c r="W110" s="210"/>
      <c r="X110" s="187">
        <f>Y110+Z110</f>
        <v>0</v>
      </c>
      <c r="Y110" s="210"/>
      <c r="Z110" s="210"/>
      <c r="AA110" s="210"/>
      <c r="AB110" s="195"/>
      <c r="AC110" s="195"/>
      <c r="AD110" s="195"/>
      <c r="AE110" s="195"/>
    </row>
    <row r="111" spans="1:38" s="151" customFormat="1" x14ac:dyDescent="0.3">
      <c r="A111" s="211" t="s">
        <v>58</v>
      </c>
      <c r="B111" s="212" t="s">
        <v>460</v>
      </c>
      <c r="C111" s="187">
        <f t="shared" si="16"/>
        <v>1000</v>
      </c>
      <c r="D111" s="210"/>
      <c r="E111" s="210"/>
      <c r="F111" s="210"/>
      <c r="G111" s="210"/>
      <c r="H111" s="210"/>
      <c r="I111" s="210"/>
      <c r="J111" s="187">
        <v>1000</v>
      </c>
      <c r="K111" s="187">
        <f t="shared" si="15"/>
        <v>0</v>
      </c>
      <c r="L111" s="210"/>
      <c r="M111" s="210"/>
      <c r="N111" s="187">
        <f>O111+P111+S111+T111+U111+X111</f>
        <v>1000</v>
      </c>
      <c r="O111" s="210"/>
      <c r="P111" s="210">
        <f>Q111+R111</f>
        <v>0</v>
      </c>
      <c r="Q111" s="210"/>
      <c r="R111" s="210"/>
      <c r="S111" s="210"/>
      <c r="T111" s="210">
        <v>1000</v>
      </c>
      <c r="U111" s="187">
        <f t="shared" si="28"/>
        <v>0</v>
      </c>
      <c r="V111" s="210"/>
      <c r="W111" s="210"/>
      <c r="X111" s="187">
        <f>Y111+Z111</f>
        <v>0</v>
      </c>
      <c r="Y111" s="210"/>
      <c r="Z111" s="210"/>
      <c r="AA111" s="210"/>
      <c r="AB111" s="195"/>
      <c r="AC111" s="195"/>
      <c r="AD111" s="195"/>
      <c r="AE111" s="195"/>
      <c r="AI111" s="46"/>
      <c r="AJ111" s="46"/>
      <c r="AK111" s="46"/>
      <c r="AL111" s="46"/>
    </row>
    <row r="112" spans="1:38" s="151" customFormat="1" x14ac:dyDescent="0.3">
      <c r="A112" s="211" t="s">
        <v>75</v>
      </c>
      <c r="B112" s="212" t="s">
        <v>461</v>
      </c>
      <c r="C112" s="187">
        <f>D112+J112+I112+E112+K112</f>
        <v>66931</v>
      </c>
      <c r="D112" s="210"/>
      <c r="F112" s="210"/>
      <c r="G112" s="210"/>
      <c r="H112" s="210"/>
      <c r="I112" s="210"/>
      <c r="J112" s="210">
        <v>66931</v>
      </c>
      <c r="K112" s="187">
        <f t="shared" si="15"/>
        <v>0</v>
      </c>
      <c r="L112" s="210"/>
      <c r="M112" s="210"/>
      <c r="N112" s="187">
        <f>O112+P112+S112+T112+U112+X112</f>
        <v>0</v>
      </c>
      <c r="O112" s="210"/>
      <c r="P112" s="210"/>
      <c r="Q112" s="210"/>
      <c r="R112" s="210"/>
      <c r="S112" s="210"/>
      <c r="T112" s="210"/>
      <c r="U112" s="187">
        <f t="shared" si="28"/>
        <v>0</v>
      </c>
      <c r="V112" s="210"/>
      <c r="W112" s="210"/>
      <c r="X112" s="187">
        <f>Y112+Z112</f>
        <v>0</v>
      </c>
      <c r="Y112" s="210"/>
      <c r="Z112" s="210"/>
      <c r="AA112" s="210"/>
      <c r="AB112" s="195"/>
      <c r="AC112" s="195"/>
      <c r="AD112" s="195"/>
      <c r="AE112" s="195"/>
      <c r="AI112" s="46"/>
      <c r="AJ112" s="46"/>
      <c r="AK112" s="46"/>
      <c r="AL112" s="46"/>
    </row>
    <row r="113" spans="1:38" s="151" customFormat="1" ht="31.2" x14ac:dyDescent="0.3">
      <c r="A113" s="211" t="s">
        <v>76</v>
      </c>
      <c r="B113" s="212" t="s">
        <v>462</v>
      </c>
      <c r="C113" s="187">
        <f t="shared" si="16"/>
        <v>870945</v>
      </c>
      <c r="D113" s="210">
        <v>124127</v>
      </c>
      <c r="E113" s="210"/>
      <c r="F113" s="210"/>
      <c r="G113" s="210"/>
      <c r="H113" s="210"/>
      <c r="I113" s="210"/>
      <c r="J113" s="187">
        <f>891523-20578-124127</f>
        <v>746818</v>
      </c>
      <c r="K113" s="187">
        <f t="shared" si="15"/>
        <v>0</v>
      </c>
      <c r="L113" s="210"/>
      <c r="M113" s="210"/>
      <c r="N113" s="187">
        <f>O113+P113+S113+T113+U113+X113</f>
        <v>3298196.0079999999</v>
      </c>
      <c r="O113" s="210"/>
      <c r="P113" s="210"/>
      <c r="Q113" s="210"/>
      <c r="R113" s="210"/>
      <c r="S113" s="210"/>
      <c r="T113" s="210">
        <v>3298196.0079999999</v>
      </c>
      <c r="U113" s="187">
        <f t="shared" si="28"/>
        <v>0</v>
      </c>
      <c r="V113" s="210"/>
      <c r="W113" s="210"/>
      <c r="X113" s="187"/>
      <c r="Y113" s="210"/>
      <c r="Z113" s="210"/>
      <c r="AA113" s="210"/>
      <c r="AB113" s="195"/>
      <c r="AC113" s="195"/>
      <c r="AD113" s="195"/>
      <c r="AE113" s="195"/>
      <c r="AI113" s="46"/>
      <c r="AJ113" s="46"/>
      <c r="AK113" s="46"/>
      <c r="AL113" s="46"/>
    </row>
    <row r="114" spans="1:38" s="151" customFormat="1" ht="31.2" x14ac:dyDescent="0.3">
      <c r="A114" s="213" t="s">
        <v>463</v>
      </c>
      <c r="B114" s="214" t="s">
        <v>105</v>
      </c>
      <c r="C114" s="215">
        <f t="shared" si="16"/>
        <v>0</v>
      </c>
      <c r="D114" s="216"/>
      <c r="E114" s="216"/>
      <c r="F114" s="216"/>
      <c r="G114" s="216"/>
      <c r="H114" s="216"/>
      <c r="I114" s="216"/>
      <c r="J114" s="216"/>
      <c r="K114" s="215">
        <f t="shared" si="15"/>
        <v>0</v>
      </c>
      <c r="L114" s="216"/>
      <c r="M114" s="216"/>
      <c r="N114" s="215">
        <f>O114+P114+S114+T114+U114+X114</f>
        <v>1859411.5550220001</v>
      </c>
      <c r="O114" s="216"/>
      <c r="P114" s="216"/>
      <c r="Q114" s="216"/>
      <c r="R114" s="216"/>
      <c r="S114" s="216"/>
      <c r="T114" s="216"/>
      <c r="U114" s="215">
        <f t="shared" si="28"/>
        <v>0</v>
      </c>
      <c r="V114" s="216"/>
      <c r="W114" s="216"/>
      <c r="X114" s="216">
        <v>1859411.5550220001</v>
      </c>
      <c r="Y114" s="216"/>
      <c r="Z114" s="216"/>
      <c r="AA114" s="216"/>
      <c r="AB114" s="195"/>
      <c r="AC114" s="195"/>
      <c r="AD114" s="195"/>
      <c r="AE114" s="195"/>
      <c r="AI114" s="46"/>
      <c r="AJ114" s="46"/>
      <c r="AK114" s="46"/>
      <c r="AL114" s="46"/>
    </row>
    <row r="115" spans="1:38" x14ac:dyDescent="0.3">
      <c r="A115" s="217" t="s">
        <v>464</v>
      </c>
      <c r="B115" s="218" t="s">
        <v>247</v>
      </c>
      <c r="C115" s="219">
        <f t="shared" si="16"/>
        <v>0</v>
      </c>
      <c r="D115" s="220"/>
      <c r="E115" s="220"/>
      <c r="F115" s="220"/>
      <c r="G115" s="220"/>
      <c r="H115" s="220"/>
      <c r="I115" s="220"/>
      <c r="J115" s="220"/>
      <c r="K115" s="219">
        <f t="shared" si="15"/>
        <v>0</v>
      </c>
      <c r="L115" s="220"/>
      <c r="M115" s="220"/>
      <c r="N115" s="219">
        <f>O115+P115+S115+T115+U115+X115+AA115</f>
        <v>185107.980278</v>
      </c>
      <c r="O115" s="220"/>
      <c r="P115" s="220"/>
      <c r="Q115" s="220"/>
      <c r="R115" s="220"/>
      <c r="S115" s="220"/>
      <c r="T115" s="220"/>
      <c r="U115" s="219">
        <f t="shared" si="28"/>
        <v>0</v>
      </c>
      <c r="V115" s="220"/>
      <c r="W115" s="220"/>
      <c r="X115" s="220"/>
      <c r="Y115" s="220"/>
      <c r="Z115" s="220"/>
      <c r="AA115" s="220">
        <v>185107.980278</v>
      </c>
      <c r="AB115" s="221"/>
      <c r="AC115" s="221"/>
      <c r="AD115" s="221"/>
      <c r="AE115" s="221"/>
    </row>
    <row r="117" spans="1:38" ht="51" customHeight="1" x14ac:dyDescent="0.3">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row>
    <row r="120" spans="1:38" x14ac:dyDescent="0.3">
      <c r="N120" s="50"/>
    </row>
  </sheetData>
  <sortState ref="A32:AD258">
    <sortCondition ref="B32:B258"/>
  </sortState>
  <mergeCells count="34">
    <mergeCell ref="A3:AE3"/>
    <mergeCell ref="F8:F9"/>
    <mergeCell ref="G8:H8"/>
    <mergeCell ref="I8:I9"/>
    <mergeCell ref="C7:M7"/>
    <mergeCell ref="AB7:AE7"/>
    <mergeCell ref="AC1:AE1"/>
    <mergeCell ref="AB8:AB9"/>
    <mergeCell ref="AC8:AC9"/>
    <mergeCell ref="AD8:AD9"/>
    <mergeCell ref="AE8:AE9"/>
    <mergeCell ref="A4:AE4"/>
    <mergeCell ref="B1:C1"/>
    <mergeCell ref="AB6:AC6"/>
    <mergeCell ref="AD6:AE6"/>
    <mergeCell ref="A7:A9"/>
    <mergeCell ref="C8:C9"/>
    <mergeCell ref="D8:D9"/>
    <mergeCell ref="E8:E9"/>
    <mergeCell ref="B7:B9"/>
    <mergeCell ref="J8:J9"/>
    <mergeCell ref="N7:X7"/>
    <mergeCell ref="B117:AE117"/>
    <mergeCell ref="T8:T9"/>
    <mergeCell ref="U8:W8"/>
    <mergeCell ref="X8:X9"/>
    <mergeCell ref="Y8:Z8"/>
    <mergeCell ref="AA8:AA9"/>
    <mergeCell ref="N8:N9"/>
    <mergeCell ref="O8:O9"/>
    <mergeCell ref="P8:P9"/>
    <mergeCell ref="Q8:R8"/>
    <mergeCell ref="S8:S9"/>
    <mergeCell ref="K8:M8"/>
  </mergeCells>
  <dataValidations count="6">
    <dataValidation allowBlank="1" showInputMessage="1" showErrorMessage="1" prompt="Theo TT 343 BTC các lĩnh vực  Công an tỉnh, Bộ chỉ huy quân sự tỉnh; Bộ chỉ huy biên phòng tỉnh, Ban Chỉ đạo phân giới, cắm mổc tỉnh (Việt nam - Lào), Ban chỉ đạo phân giới, cắm mổc tỉnh (Viêt nam - Cam Pu Chia) không công khai QT" sqref="C65389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C130925 IY130925 SU130925 ACQ130925 AMM130925 AWI130925 BGE130925 BQA130925 BZW130925 CJS130925 CTO130925 DDK130925 DNG130925 DXC130925 EGY130925 EQU130925 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C196461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SRC196461 TAY196461 TKU196461 TUQ196461 UEM196461 UOI196461 UYE196461 VIA196461 VRW196461 WBS196461 WLO196461 WVK196461 C261997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C327533 IY327533 SU327533 ACQ327533 AMM327533 AWI327533 BGE327533 BQA327533 BZW327533 CJS327533 CTO327533 DDK327533 DNG327533 DXC327533 EGY327533 EQU327533 FAQ327533 FKM327533 FUI327533 GEE327533 GOA327533 GXW327533 HHS327533 HRO327533 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C393069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VRW393069 WBS393069 WLO393069 WVK393069 C458605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C524141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C589677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C655213 IY655213 SU655213 ACQ655213 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C720749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OCY720749 OMU720749 OWQ720749 PGM720749 PQI720749 QAE720749 QKA720749 QTW720749 RDS720749 RNO720749 RXK720749 SHG720749 SRC720749 TAY720749 TKU720749 TUQ720749 UEM720749 UOI720749 UYE720749 VIA720749 VRW720749 WBS720749 WLO720749 WVK720749 C786285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C851821 IY851821 SU851821 ACQ851821 AMM851821 AWI851821 BGE851821 BQA851821 BZW851821 CJS851821 CTO851821 DDK851821 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C917357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RDS917357 RNO917357 RXK917357 SHG917357 SRC917357 TAY917357 TKU917357 TUQ917357 UEM917357 UOI917357 UYE917357 VIA917357 VRW917357 WBS917357 WLO917357 WVK917357 C982893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C1048429 IY1048429 SU1048429 ACQ1048429 AMM1048429 AWI1048429 BGE1048429 BQA1048429 BZW1048429 CJS1048429 CTO1048429 DDK1048429 DNG1048429 DXC1048429 EGY1048429 EQU1048429 FAQ1048429 FKM1048429 FUI1048429 GEE1048429 GOA1048429 GXW1048429 HHS1048429 HRO1048429 IBK1048429 ILG1048429 IVC1048429 JEY1048429 JOU1048429 JYQ1048429 KIM1048429 KSI1048429 LCE1048429 LMA1048429 LVW1048429 MFS1048429 MPO1048429 MZK1048429 NJG1048429 NTC1048429 OCY1048429 OMU1048429 OWQ1048429 PGM1048429 PQI1048429 QAE1048429 QKA1048429 QTW1048429 RDS1048429 RNO1048429 RXK1048429 SHG1048429 SRC1048429 TAY1048429 TKU1048429 TUQ1048429 UEM1048429 UOI1048429 UYE1048429 VIA1048429 VRW1048429 WBS1048429 WLO1048429 WVK1048429"/>
    <dataValidation allowBlank="1" showInputMessage="1" showErrorMessage="1" prompt="Bao gồm: tăng 300tr. đồng Ghi thu ghi chi quyền sử dụng đất khai thác quỹ đất khu phía Nam cầu Đăk bla (Thường xuyên)" sqref="R70 JN70 TJ70 ADF70 ANB70 AWX70 BGT70 BQP70 CAL70 CKH70 CUD70 DDZ70 DNV70 DXR70 EHN70 ERJ70 FBF70 FLB70 FUX70 GET70 GOP70 GYL70 HIH70 HSD70 IBZ70 ILV70 IVR70 JFN70 JPJ70 JZF70 KJB70 KSX70 LCT70 LMP70 LWL70 MGH70 MQD70 MZZ70 NJV70 NTR70 ODN70 ONJ70 OXF70 PHB70 PQX70 QAT70 QKP70 QUL70 REH70 ROD70 RXZ70 SHV70 SRR70 TBN70 TLJ70 TVF70 UFB70 UOX70 UYT70 VIP70 VSL70 WCH70 WMD70 WVZ70 R65606 JN65606 TJ65606 ADF65606 ANB65606 AWX65606 BGT65606 BQP65606 CAL65606 CKH65606 CUD65606 DDZ65606 DNV65606 DXR65606 EHN65606 ERJ65606 FBF65606 FLB65606 FUX65606 GET65606 GOP65606 GYL65606 HIH65606 HSD65606 IBZ65606 ILV65606 IVR65606 JFN65606 JPJ65606 JZF65606 KJB65606 KSX65606 LCT65606 LMP65606 LWL65606 MGH65606 MQD65606 MZZ65606 NJV65606 NTR65606 ODN65606 ONJ65606 OXF65606 PHB65606 PQX65606 QAT65606 QKP65606 QUL65606 REH65606 ROD65606 RXZ65606 SHV65606 SRR65606 TBN65606 TLJ65606 TVF65606 UFB65606 UOX65606 UYT65606 VIP65606 VSL65606 WCH65606 WMD65606 WVZ65606 R131142 JN131142 TJ131142 ADF131142 ANB131142 AWX131142 BGT131142 BQP131142 CAL131142 CKH131142 CUD131142 DDZ131142 DNV131142 DXR131142 EHN131142 ERJ131142 FBF131142 FLB131142 FUX131142 GET131142 GOP131142 GYL131142 HIH131142 HSD131142 IBZ131142 ILV131142 IVR131142 JFN131142 JPJ131142 JZF131142 KJB131142 KSX131142 LCT131142 LMP131142 LWL131142 MGH131142 MQD131142 MZZ131142 NJV131142 NTR131142 ODN131142 ONJ131142 OXF131142 PHB131142 PQX131142 QAT131142 QKP131142 QUL131142 REH131142 ROD131142 RXZ131142 SHV131142 SRR131142 TBN131142 TLJ131142 TVF131142 UFB131142 UOX131142 UYT131142 VIP131142 VSL131142 WCH131142 WMD131142 WVZ131142 R196678 JN196678 TJ196678 ADF196678 ANB196678 AWX196678 BGT196678 BQP196678 CAL196678 CKH196678 CUD196678 DDZ196678 DNV196678 DXR196678 EHN196678 ERJ196678 FBF196678 FLB196678 FUX196678 GET196678 GOP196678 GYL196678 HIH196678 HSD196678 IBZ196678 ILV196678 IVR196678 JFN196678 JPJ196678 JZF196678 KJB196678 KSX196678 LCT196678 LMP196678 LWL196678 MGH196678 MQD196678 MZZ196678 NJV196678 NTR196678 ODN196678 ONJ196678 OXF196678 PHB196678 PQX196678 QAT196678 QKP196678 QUL196678 REH196678 ROD196678 RXZ196678 SHV196678 SRR196678 TBN196678 TLJ196678 TVF196678 UFB196678 UOX196678 UYT196678 VIP196678 VSL196678 WCH196678 WMD196678 WVZ196678 R262214 JN262214 TJ262214 ADF262214 ANB262214 AWX262214 BGT262214 BQP262214 CAL262214 CKH262214 CUD262214 DDZ262214 DNV262214 DXR262214 EHN262214 ERJ262214 FBF262214 FLB262214 FUX262214 GET262214 GOP262214 GYL262214 HIH262214 HSD262214 IBZ262214 ILV262214 IVR262214 JFN262214 JPJ262214 JZF262214 KJB262214 KSX262214 LCT262214 LMP262214 LWL262214 MGH262214 MQD262214 MZZ262214 NJV262214 NTR262214 ODN262214 ONJ262214 OXF262214 PHB262214 PQX262214 QAT262214 QKP262214 QUL262214 REH262214 ROD262214 RXZ262214 SHV262214 SRR262214 TBN262214 TLJ262214 TVF262214 UFB262214 UOX262214 UYT262214 VIP262214 VSL262214 WCH262214 WMD262214 WVZ262214 R327750 JN327750 TJ327750 ADF327750 ANB327750 AWX327750 BGT327750 BQP327750 CAL327750 CKH327750 CUD327750 DDZ327750 DNV327750 DXR327750 EHN327750 ERJ327750 FBF327750 FLB327750 FUX327750 GET327750 GOP327750 GYL327750 HIH327750 HSD327750 IBZ327750 ILV327750 IVR327750 JFN327750 JPJ327750 JZF327750 KJB327750 KSX327750 LCT327750 LMP327750 LWL327750 MGH327750 MQD327750 MZZ327750 NJV327750 NTR327750 ODN327750 ONJ327750 OXF327750 PHB327750 PQX327750 QAT327750 QKP327750 QUL327750 REH327750 ROD327750 RXZ327750 SHV327750 SRR327750 TBN327750 TLJ327750 TVF327750 UFB327750 UOX327750 UYT327750 VIP327750 VSL327750 WCH327750 WMD327750 WVZ327750 R393286 JN393286 TJ393286 ADF393286 ANB393286 AWX393286 BGT393286 BQP393286 CAL393286 CKH393286 CUD393286 DDZ393286 DNV393286 DXR393286 EHN393286 ERJ393286 FBF393286 FLB393286 FUX393286 GET393286 GOP393286 GYL393286 HIH393286 HSD393286 IBZ393286 ILV393286 IVR393286 JFN393286 JPJ393286 JZF393286 KJB393286 KSX393286 LCT393286 LMP393286 LWL393286 MGH393286 MQD393286 MZZ393286 NJV393286 NTR393286 ODN393286 ONJ393286 OXF393286 PHB393286 PQX393286 QAT393286 QKP393286 QUL393286 REH393286 ROD393286 RXZ393286 SHV393286 SRR393286 TBN393286 TLJ393286 TVF393286 UFB393286 UOX393286 UYT393286 VIP393286 VSL393286 WCH393286 WMD393286 WVZ393286 R458822 JN458822 TJ458822 ADF458822 ANB458822 AWX458822 BGT458822 BQP458822 CAL458822 CKH458822 CUD458822 DDZ458822 DNV458822 DXR458822 EHN458822 ERJ458822 FBF458822 FLB458822 FUX458822 GET458822 GOP458822 GYL458822 HIH458822 HSD458822 IBZ458822 ILV458822 IVR458822 JFN458822 JPJ458822 JZF458822 KJB458822 KSX458822 LCT458822 LMP458822 LWL458822 MGH458822 MQD458822 MZZ458822 NJV458822 NTR458822 ODN458822 ONJ458822 OXF458822 PHB458822 PQX458822 QAT458822 QKP458822 QUL458822 REH458822 ROD458822 RXZ458822 SHV458822 SRR458822 TBN458822 TLJ458822 TVF458822 UFB458822 UOX458822 UYT458822 VIP458822 VSL458822 WCH458822 WMD458822 WVZ458822 R524358 JN524358 TJ524358 ADF524358 ANB524358 AWX524358 BGT524358 BQP524358 CAL524358 CKH524358 CUD524358 DDZ524358 DNV524358 DXR524358 EHN524358 ERJ524358 FBF524358 FLB524358 FUX524358 GET524358 GOP524358 GYL524358 HIH524358 HSD524358 IBZ524358 ILV524358 IVR524358 JFN524358 JPJ524358 JZF524358 KJB524358 KSX524358 LCT524358 LMP524358 LWL524358 MGH524358 MQD524358 MZZ524358 NJV524358 NTR524358 ODN524358 ONJ524358 OXF524358 PHB524358 PQX524358 QAT524358 QKP524358 QUL524358 REH524358 ROD524358 RXZ524358 SHV524358 SRR524358 TBN524358 TLJ524358 TVF524358 UFB524358 UOX524358 UYT524358 VIP524358 VSL524358 WCH524358 WMD524358 WVZ524358 R589894 JN589894 TJ589894 ADF589894 ANB589894 AWX589894 BGT589894 BQP589894 CAL589894 CKH589894 CUD589894 DDZ589894 DNV589894 DXR589894 EHN589894 ERJ589894 FBF589894 FLB589894 FUX589894 GET589894 GOP589894 GYL589894 HIH589894 HSD589894 IBZ589894 ILV589894 IVR589894 JFN589894 JPJ589894 JZF589894 KJB589894 KSX589894 LCT589894 LMP589894 LWL589894 MGH589894 MQD589894 MZZ589894 NJV589894 NTR589894 ODN589894 ONJ589894 OXF589894 PHB589894 PQX589894 QAT589894 QKP589894 QUL589894 REH589894 ROD589894 RXZ589894 SHV589894 SRR589894 TBN589894 TLJ589894 TVF589894 UFB589894 UOX589894 UYT589894 VIP589894 VSL589894 WCH589894 WMD589894 WVZ589894 R655430 JN655430 TJ655430 ADF655430 ANB655430 AWX655430 BGT655430 BQP655430 CAL655430 CKH655430 CUD655430 DDZ655430 DNV655430 DXR655430 EHN655430 ERJ655430 FBF655430 FLB655430 FUX655430 GET655430 GOP655430 GYL655430 HIH655430 HSD655430 IBZ655430 ILV655430 IVR655430 JFN655430 JPJ655430 JZF655430 KJB655430 KSX655430 LCT655430 LMP655430 LWL655430 MGH655430 MQD655430 MZZ655430 NJV655430 NTR655430 ODN655430 ONJ655430 OXF655430 PHB655430 PQX655430 QAT655430 QKP655430 QUL655430 REH655430 ROD655430 RXZ655430 SHV655430 SRR655430 TBN655430 TLJ655430 TVF655430 UFB655430 UOX655430 UYT655430 VIP655430 VSL655430 WCH655430 WMD655430 WVZ655430 R720966 JN720966 TJ720966 ADF720966 ANB720966 AWX720966 BGT720966 BQP720966 CAL720966 CKH720966 CUD720966 DDZ720966 DNV720966 DXR720966 EHN720966 ERJ720966 FBF720966 FLB720966 FUX720966 GET720966 GOP720966 GYL720966 HIH720966 HSD720966 IBZ720966 ILV720966 IVR720966 JFN720966 JPJ720966 JZF720966 KJB720966 KSX720966 LCT720966 LMP720966 LWL720966 MGH720966 MQD720966 MZZ720966 NJV720966 NTR720966 ODN720966 ONJ720966 OXF720966 PHB720966 PQX720966 QAT720966 QKP720966 QUL720966 REH720966 ROD720966 RXZ720966 SHV720966 SRR720966 TBN720966 TLJ720966 TVF720966 UFB720966 UOX720966 UYT720966 VIP720966 VSL720966 WCH720966 WMD720966 WVZ720966 R786502 JN786502 TJ786502 ADF786502 ANB786502 AWX786502 BGT786502 BQP786502 CAL786502 CKH786502 CUD786502 DDZ786502 DNV786502 DXR786502 EHN786502 ERJ786502 FBF786502 FLB786502 FUX786502 GET786502 GOP786502 GYL786502 HIH786502 HSD786502 IBZ786502 ILV786502 IVR786502 JFN786502 JPJ786502 JZF786502 KJB786502 KSX786502 LCT786502 LMP786502 LWL786502 MGH786502 MQD786502 MZZ786502 NJV786502 NTR786502 ODN786502 ONJ786502 OXF786502 PHB786502 PQX786502 QAT786502 QKP786502 QUL786502 REH786502 ROD786502 RXZ786502 SHV786502 SRR786502 TBN786502 TLJ786502 TVF786502 UFB786502 UOX786502 UYT786502 VIP786502 VSL786502 WCH786502 WMD786502 WVZ786502 R852038 JN852038 TJ852038 ADF852038 ANB852038 AWX852038 BGT852038 BQP852038 CAL852038 CKH852038 CUD852038 DDZ852038 DNV852038 DXR852038 EHN852038 ERJ852038 FBF852038 FLB852038 FUX852038 GET852038 GOP852038 GYL852038 HIH852038 HSD852038 IBZ852038 ILV852038 IVR852038 JFN852038 JPJ852038 JZF852038 KJB852038 KSX852038 LCT852038 LMP852038 LWL852038 MGH852038 MQD852038 MZZ852038 NJV852038 NTR852038 ODN852038 ONJ852038 OXF852038 PHB852038 PQX852038 QAT852038 QKP852038 QUL852038 REH852038 ROD852038 RXZ852038 SHV852038 SRR852038 TBN852038 TLJ852038 TVF852038 UFB852038 UOX852038 UYT852038 VIP852038 VSL852038 WCH852038 WMD852038 WVZ852038 R917574 JN917574 TJ917574 ADF917574 ANB917574 AWX917574 BGT917574 BQP917574 CAL917574 CKH917574 CUD917574 DDZ917574 DNV917574 DXR917574 EHN917574 ERJ917574 FBF917574 FLB917574 FUX917574 GET917574 GOP917574 GYL917574 HIH917574 HSD917574 IBZ917574 ILV917574 IVR917574 JFN917574 JPJ917574 JZF917574 KJB917574 KSX917574 LCT917574 LMP917574 LWL917574 MGH917574 MQD917574 MZZ917574 NJV917574 NTR917574 ODN917574 ONJ917574 OXF917574 PHB917574 PQX917574 QAT917574 QKP917574 QUL917574 REH917574 ROD917574 RXZ917574 SHV917574 SRR917574 TBN917574 TLJ917574 TVF917574 UFB917574 UOX917574 UYT917574 VIP917574 VSL917574 WCH917574 WMD917574 WVZ917574 R983110 JN983110 TJ983110 ADF983110 ANB983110 AWX983110 BGT983110 BQP983110 CAL983110 CKH983110 CUD983110 DDZ983110 DNV983110 DXR983110 EHN983110 ERJ983110 FBF983110 FLB983110 FUX983110 GET983110 GOP983110 GYL983110 HIH983110 HSD983110 IBZ983110 ILV983110 IVR983110 JFN983110 JPJ983110 JZF983110 KJB983110 KSX983110 LCT983110 LMP983110 LWL983110 MGH983110 MQD983110 MZZ983110 NJV983110 NTR983110 ODN983110 ONJ983110 OXF983110 PHB983110 PQX983110 QAT983110 QKP983110 QUL983110 REH983110 ROD983110 RXZ983110 SHV983110 SRR983110 TBN983110 TLJ983110 TVF983110 UFB983110 UOX983110 UYT983110 VIP983110 VSL983110 WCH983110 WMD983110 WVZ983110"/>
    <dataValidation allowBlank="1" showInputMessage="1" showErrorMessage="1" prompt="Bao gồm Văn phòng điều phối CT MTQG NTM" sqref="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49 JI65549 TE65549 ADA65549 AMW65549 AWS65549 BGO65549 BQK65549 CAG65549 CKC65549 CTY65549 DDU65549 DNQ65549 DXM65549 EHI65549 ERE65549 FBA65549 FKW65549 FUS65549 GEO65549 GOK65549 GYG65549 HIC65549 HRY65549 IBU65549 ILQ65549 IVM65549 JFI65549 JPE65549 JZA65549 KIW65549 KSS65549 LCO65549 LMK65549 LWG65549 MGC65549 MPY65549 MZU65549 NJQ65549 NTM65549 ODI65549 ONE65549 OXA65549 PGW65549 PQS65549 QAO65549 QKK65549 QUG65549 REC65549 RNY65549 RXU65549 SHQ65549 SRM65549 TBI65549 TLE65549 TVA65549 UEW65549 UOS65549 UYO65549 VIK65549 VSG65549 WCC65549 WLY65549 WVU65549 M131085 JI131085 TE131085 ADA131085 AMW131085 AWS131085 BGO131085 BQK131085 CAG131085 CKC131085 CTY131085 DDU131085 DNQ131085 DXM131085 EHI131085 ERE131085 FBA131085 FKW131085 FUS131085 GEO131085 GOK131085 GYG131085 HIC131085 HRY131085 IBU131085 ILQ131085 IVM131085 JFI131085 JPE131085 JZA131085 KIW131085 KSS131085 LCO131085 LMK131085 LWG131085 MGC131085 MPY131085 MZU131085 NJQ131085 NTM131085 ODI131085 ONE131085 OXA131085 PGW131085 PQS131085 QAO131085 QKK131085 QUG131085 REC131085 RNY131085 RXU131085 SHQ131085 SRM131085 TBI131085 TLE131085 TVA131085 UEW131085 UOS131085 UYO131085 VIK131085 VSG131085 WCC131085 WLY131085 WVU131085 M196621 JI196621 TE196621 ADA196621 AMW196621 AWS196621 BGO196621 BQK196621 CAG196621 CKC196621 CTY196621 DDU196621 DNQ196621 DXM196621 EHI196621 ERE196621 FBA196621 FKW196621 FUS196621 GEO196621 GOK196621 GYG196621 HIC196621 HRY196621 IBU196621 ILQ196621 IVM196621 JFI196621 JPE196621 JZA196621 KIW196621 KSS196621 LCO196621 LMK196621 LWG196621 MGC196621 MPY196621 MZU196621 NJQ196621 NTM196621 ODI196621 ONE196621 OXA196621 PGW196621 PQS196621 QAO196621 QKK196621 QUG196621 REC196621 RNY196621 RXU196621 SHQ196621 SRM196621 TBI196621 TLE196621 TVA196621 UEW196621 UOS196621 UYO196621 VIK196621 VSG196621 WCC196621 WLY196621 WVU196621 M262157 JI262157 TE262157 ADA262157 AMW262157 AWS262157 BGO262157 BQK262157 CAG262157 CKC262157 CTY262157 DDU262157 DNQ262157 DXM262157 EHI262157 ERE262157 FBA262157 FKW262157 FUS262157 GEO262157 GOK262157 GYG262157 HIC262157 HRY262157 IBU262157 ILQ262157 IVM262157 JFI262157 JPE262157 JZA262157 KIW262157 KSS262157 LCO262157 LMK262157 LWG262157 MGC262157 MPY262157 MZU262157 NJQ262157 NTM262157 ODI262157 ONE262157 OXA262157 PGW262157 PQS262157 QAO262157 QKK262157 QUG262157 REC262157 RNY262157 RXU262157 SHQ262157 SRM262157 TBI262157 TLE262157 TVA262157 UEW262157 UOS262157 UYO262157 VIK262157 VSG262157 WCC262157 WLY262157 WVU262157 M327693 JI327693 TE327693 ADA327693 AMW327693 AWS327693 BGO327693 BQK327693 CAG327693 CKC327693 CTY327693 DDU327693 DNQ327693 DXM327693 EHI327693 ERE327693 FBA327693 FKW327693 FUS327693 GEO327693 GOK327693 GYG327693 HIC327693 HRY327693 IBU327693 ILQ327693 IVM327693 JFI327693 JPE327693 JZA327693 KIW327693 KSS327693 LCO327693 LMK327693 LWG327693 MGC327693 MPY327693 MZU327693 NJQ327693 NTM327693 ODI327693 ONE327693 OXA327693 PGW327693 PQS327693 QAO327693 QKK327693 QUG327693 REC327693 RNY327693 RXU327693 SHQ327693 SRM327693 TBI327693 TLE327693 TVA327693 UEW327693 UOS327693 UYO327693 VIK327693 VSG327693 WCC327693 WLY327693 WVU327693 M393229 JI393229 TE393229 ADA393229 AMW393229 AWS393229 BGO393229 BQK393229 CAG393229 CKC393229 CTY393229 DDU393229 DNQ393229 DXM393229 EHI393229 ERE393229 FBA393229 FKW393229 FUS393229 GEO393229 GOK393229 GYG393229 HIC393229 HRY393229 IBU393229 ILQ393229 IVM393229 JFI393229 JPE393229 JZA393229 KIW393229 KSS393229 LCO393229 LMK393229 LWG393229 MGC393229 MPY393229 MZU393229 NJQ393229 NTM393229 ODI393229 ONE393229 OXA393229 PGW393229 PQS393229 QAO393229 QKK393229 QUG393229 REC393229 RNY393229 RXU393229 SHQ393229 SRM393229 TBI393229 TLE393229 TVA393229 UEW393229 UOS393229 UYO393229 VIK393229 VSG393229 WCC393229 WLY393229 WVU393229 M458765 JI458765 TE458765 ADA458765 AMW458765 AWS458765 BGO458765 BQK458765 CAG458765 CKC458765 CTY458765 DDU458765 DNQ458765 DXM458765 EHI458765 ERE458765 FBA458765 FKW458765 FUS458765 GEO458765 GOK458765 GYG458765 HIC458765 HRY458765 IBU458765 ILQ458765 IVM458765 JFI458765 JPE458765 JZA458765 KIW458765 KSS458765 LCO458765 LMK458765 LWG458765 MGC458765 MPY458765 MZU458765 NJQ458765 NTM458765 ODI458765 ONE458765 OXA458765 PGW458765 PQS458765 QAO458765 QKK458765 QUG458765 REC458765 RNY458765 RXU458765 SHQ458765 SRM458765 TBI458765 TLE458765 TVA458765 UEW458765 UOS458765 UYO458765 VIK458765 VSG458765 WCC458765 WLY458765 WVU458765 M524301 JI524301 TE524301 ADA524301 AMW524301 AWS524301 BGO524301 BQK524301 CAG524301 CKC524301 CTY524301 DDU524301 DNQ524301 DXM524301 EHI524301 ERE524301 FBA524301 FKW524301 FUS524301 GEO524301 GOK524301 GYG524301 HIC524301 HRY524301 IBU524301 ILQ524301 IVM524301 JFI524301 JPE524301 JZA524301 KIW524301 KSS524301 LCO524301 LMK524301 LWG524301 MGC524301 MPY524301 MZU524301 NJQ524301 NTM524301 ODI524301 ONE524301 OXA524301 PGW524301 PQS524301 QAO524301 QKK524301 QUG524301 REC524301 RNY524301 RXU524301 SHQ524301 SRM524301 TBI524301 TLE524301 TVA524301 UEW524301 UOS524301 UYO524301 VIK524301 VSG524301 WCC524301 WLY524301 WVU524301 M589837 JI589837 TE589837 ADA589837 AMW589837 AWS589837 BGO589837 BQK589837 CAG589837 CKC589837 CTY589837 DDU589837 DNQ589837 DXM589837 EHI589837 ERE589837 FBA589837 FKW589837 FUS589837 GEO589837 GOK589837 GYG589837 HIC589837 HRY589837 IBU589837 ILQ589837 IVM589837 JFI589837 JPE589837 JZA589837 KIW589837 KSS589837 LCO589837 LMK589837 LWG589837 MGC589837 MPY589837 MZU589837 NJQ589837 NTM589837 ODI589837 ONE589837 OXA589837 PGW589837 PQS589837 QAO589837 QKK589837 QUG589837 REC589837 RNY589837 RXU589837 SHQ589837 SRM589837 TBI589837 TLE589837 TVA589837 UEW589837 UOS589837 UYO589837 VIK589837 VSG589837 WCC589837 WLY589837 WVU589837 M655373 JI655373 TE655373 ADA655373 AMW655373 AWS655373 BGO655373 BQK655373 CAG655373 CKC655373 CTY655373 DDU655373 DNQ655373 DXM655373 EHI655373 ERE655373 FBA655373 FKW655373 FUS655373 GEO655373 GOK655373 GYG655373 HIC655373 HRY655373 IBU655373 ILQ655373 IVM655373 JFI655373 JPE655373 JZA655373 KIW655373 KSS655373 LCO655373 LMK655373 LWG655373 MGC655373 MPY655373 MZU655373 NJQ655373 NTM655373 ODI655373 ONE655373 OXA655373 PGW655373 PQS655373 QAO655373 QKK655373 QUG655373 REC655373 RNY655373 RXU655373 SHQ655373 SRM655373 TBI655373 TLE655373 TVA655373 UEW655373 UOS655373 UYO655373 VIK655373 VSG655373 WCC655373 WLY655373 WVU655373 M720909 JI720909 TE720909 ADA720909 AMW720909 AWS720909 BGO720909 BQK720909 CAG720909 CKC720909 CTY720909 DDU720909 DNQ720909 DXM720909 EHI720909 ERE720909 FBA720909 FKW720909 FUS720909 GEO720909 GOK720909 GYG720909 HIC720909 HRY720909 IBU720909 ILQ720909 IVM720909 JFI720909 JPE720909 JZA720909 KIW720909 KSS720909 LCO720909 LMK720909 LWG720909 MGC720909 MPY720909 MZU720909 NJQ720909 NTM720909 ODI720909 ONE720909 OXA720909 PGW720909 PQS720909 QAO720909 QKK720909 QUG720909 REC720909 RNY720909 RXU720909 SHQ720909 SRM720909 TBI720909 TLE720909 TVA720909 UEW720909 UOS720909 UYO720909 VIK720909 VSG720909 WCC720909 WLY720909 WVU720909 M786445 JI786445 TE786445 ADA786445 AMW786445 AWS786445 BGO786445 BQK786445 CAG786445 CKC786445 CTY786445 DDU786445 DNQ786445 DXM786445 EHI786445 ERE786445 FBA786445 FKW786445 FUS786445 GEO786445 GOK786445 GYG786445 HIC786445 HRY786445 IBU786445 ILQ786445 IVM786445 JFI786445 JPE786445 JZA786445 KIW786445 KSS786445 LCO786445 LMK786445 LWG786445 MGC786445 MPY786445 MZU786445 NJQ786445 NTM786445 ODI786445 ONE786445 OXA786445 PGW786445 PQS786445 QAO786445 QKK786445 QUG786445 REC786445 RNY786445 RXU786445 SHQ786445 SRM786445 TBI786445 TLE786445 TVA786445 UEW786445 UOS786445 UYO786445 VIK786445 VSG786445 WCC786445 WLY786445 WVU786445 M851981 JI851981 TE851981 ADA851981 AMW851981 AWS851981 BGO851981 BQK851981 CAG851981 CKC851981 CTY851981 DDU851981 DNQ851981 DXM851981 EHI851981 ERE851981 FBA851981 FKW851981 FUS851981 GEO851981 GOK851981 GYG851981 HIC851981 HRY851981 IBU851981 ILQ851981 IVM851981 JFI851981 JPE851981 JZA851981 KIW851981 KSS851981 LCO851981 LMK851981 LWG851981 MGC851981 MPY851981 MZU851981 NJQ851981 NTM851981 ODI851981 ONE851981 OXA851981 PGW851981 PQS851981 QAO851981 QKK851981 QUG851981 REC851981 RNY851981 RXU851981 SHQ851981 SRM851981 TBI851981 TLE851981 TVA851981 UEW851981 UOS851981 UYO851981 VIK851981 VSG851981 WCC851981 WLY851981 WVU851981 M917517 JI917517 TE917517 ADA917517 AMW917517 AWS917517 BGO917517 BQK917517 CAG917517 CKC917517 CTY917517 DDU917517 DNQ917517 DXM917517 EHI917517 ERE917517 FBA917517 FKW917517 FUS917517 GEO917517 GOK917517 GYG917517 HIC917517 HRY917517 IBU917517 ILQ917517 IVM917517 JFI917517 JPE917517 JZA917517 KIW917517 KSS917517 LCO917517 LMK917517 LWG917517 MGC917517 MPY917517 MZU917517 NJQ917517 NTM917517 ODI917517 ONE917517 OXA917517 PGW917517 PQS917517 QAO917517 QKK917517 QUG917517 REC917517 RNY917517 RXU917517 SHQ917517 SRM917517 TBI917517 TLE917517 TVA917517 UEW917517 UOS917517 UYO917517 VIK917517 VSG917517 WCC917517 WLY917517 WVU917517 M983053 JI983053 TE983053 ADA983053 AMW983053 AWS983053 BGO983053 BQK983053 CAG983053 CKC983053 CTY983053 DDU983053 DNQ983053 DXM983053 EHI983053 ERE983053 FBA983053 FKW983053 FUS983053 GEO983053 GOK983053 GYG983053 HIC983053 HRY983053 IBU983053 ILQ983053 IVM983053 JFI983053 JPE983053 JZA983053 KIW983053 KSS983053 LCO983053 LMK983053 LWG983053 MGC983053 MPY983053 MZU983053 NJQ983053 NTM983053 ODI983053 ONE983053 OXA983053 PGW983053 PQS983053 QAO983053 QKK983053 QUG983053 REC983053 RNY983053 RXU983053 SHQ983053 SRM983053 TBI983053 TLE983053 TVA983053 UEW983053 UOS983053 UYO983053 VIK983053 VSG983053 WCC983053 WLY983053 WVU983053"/>
    <dataValidation allowBlank="1" showInputMessage="1" showErrorMessage="1" prompt="Bao gồm cả BS cân đối để khớp với tổng chi NS tỉnh" sqref="T113 JP113 TL113 ADH113 AND113 AWZ113 BGV113 BQR113 CAN113 CKJ113 CUF113 DEB113 DNX113 DXT113 EHP113 ERL113 FBH113 FLD113 FUZ113 GEV113 GOR113 GYN113 HIJ113 HSF113 ICB113 ILX113 IVT113 JFP113 JPL113 JZH113 KJD113 KSZ113 LCV113 LMR113 LWN113 MGJ113 MQF113 NAB113 NJX113 NTT113 ODP113 ONL113 OXH113 PHD113 PQZ113 QAV113 QKR113 QUN113 REJ113 ROF113 RYB113 SHX113 SRT113 TBP113 TLL113 TVH113 UFD113 UOZ113 UYV113 VIR113 VSN113 WCJ113 WMF113 WWB113 T65649 JP65649 TL65649 ADH65649 AND65649 AWZ65649 BGV65649 BQR65649 CAN65649 CKJ65649 CUF65649 DEB65649 DNX65649 DXT65649 EHP65649 ERL65649 FBH65649 FLD65649 FUZ65649 GEV65649 GOR65649 GYN65649 HIJ65649 HSF65649 ICB65649 ILX65649 IVT65649 JFP65649 JPL65649 JZH65649 KJD65649 KSZ65649 LCV65649 LMR65649 LWN65649 MGJ65649 MQF65649 NAB65649 NJX65649 NTT65649 ODP65649 ONL65649 OXH65649 PHD65649 PQZ65649 QAV65649 QKR65649 QUN65649 REJ65649 ROF65649 RYB65649 SHX65649 SRT65649 TBP65649 TLL65649 TVH65649 UFD65649 UOZ65649 UYV65649 VIR65649 VSN65649 WCJ65649 WMF65649 WWB65649 T131185 JP131185 TL131185 ADH131185 AND131185 AWZ131185 BGV131185 BQR131185 CAN131185 CKJ131185 CUF131185 DEB131185 DNX131185 DXT131185 EHP131185 ERL131185 FBH131185 FLD131185 FUZ131185 GEV131185 GOR131185 GYN131185 HIJ131185 HSF131185 ICB131185 ILX131185 IVT131185 JFP131185 JPL131185 JZH131185 KJD131185 KSZ131185 LCV131185 LMR131185 LWN131185 MGJ131185 MQF131185 NAB131185 NJX131185 NTT131185 ODP131185 ONL131185 OXH131185 PHD131185 PQZ131185 QAV131185 QKR131185 QUN131185 REJ131185 ROF131185 RYB131185 SHX131185 SRT131185 TBP131185 TLL131185 TVH131185 UFD131185 UOZ131185 UYV131185 VIR131185 VSN131185 WCJ131185 WMF131185 WWB131185 T196721 JP196721 TL196721 ADH196721 AND196721 AWZ196721 BGV196721 BQR196721 CAN196721 CKJ196721 CUF196721 DEB196721 DNX196721 DXT196721 EHP196721 ERL196721 FBH196721 FLD196721 FUZ196721 GEV196721 GOR196721 GYN196721 HIJ196721 HSF196721 ICB196721 ILX196721 IVT196721 JFP196721 JPL196721 JZH196721 KJD196721 KSZ196721 LCV196721 LMR196721 LWN196721 MGJ196721 MQF196721 NAB196721 NJX196721 NTT196721 ODP196721 ONL196721 OXH196721 PHD196721 PQZ196721 QAV196721 QKR196721 QUN196721 REJ196721 ROF196721 RYB196721 SHX196721 SRT196721 TBP196721 TLL196721 TVH196721 UFD196721 UOZ196721 UYV196721 VIR196721 VSN196721 WCJ196721 WMF196721 WWB196721 T262257 JP262257 TL262257 ADH262257 AND262257 AWZ262257 BGV262257 BQR262257 CAN262257 CKJ262257 CUF262257 DEB262257 DNX262257 DXT262257 EHP262257 ERL262257 FBH262257 FLD262257 FUZ262257 GEV262257 GOR262257 GYN262257 HIJ262257 HSF262257 ICB262257 ILX262257 IVT262257 JFP262257 JPL262257 JZH262257 KJD262257 KSZ262257 LCV262257 LMR262257 LWN262257 MGJ262257 MQF262257 NAB262257 NJX262257 NTT262257 ODP262257 ONL262257 OXH262257 PHD262257 PQZ262257 QAV262257 QKR262257 QUN262257 REJ262257 ROF262257 RYB262257 SHX262257 SRT262257 TBP262257 TLL262257 TVH262257 UFD262257 UOZ262257 UYV262257 VIR262257 VSN262257 WCJ262257 WMF262257 WWB262257 T327793 JP327793 TL327793 ADH327793 AND327793 AWZ327793 BGV327793 BQR327793 CAN327793 CKJ327793 CUF327793 DEB327793 DNX327793 DXT327793 EHP327793 ERL327793 FBH327793 FLD327793 FUZ327793 GEV327793 GOR327793 GYN327793 HIJ327793 HSF327793 ICB327793 ILX327793 IVT327793 JFP327793 JPL327793 JZH327793 KJD327793 KSZ327793 LCV327793 LMR327793 LWN327793 MGJ327793 MQF327793 NAB327793 NJX327793 NTT327793 ODP327793 ONL327793 OXH327793 PHD327793 PQZ327793 QAV327793 QKR327793 QUN327793 REJ327793 ROF327793 RYB327793 SHX327793 SRT327793 TBP327793 TLL327793 TVH327793 UFD327793 UOZ327793 UYV327793 VIR327793 VSN327793 WCJ327793 WMF327793 WWB327793 T393329 JP393329 TL393329 ADH393329 AND393329 AWZ393329 BGV393329 BQR393329 CAN393329 CKJ393329 CUF393329 DEB393329 DNX393329 DXT393329 EHP393329 ERL393329 FBH393329 FLD393329 FUZ393329 GEV393329 GOR393329 GYN393329 HIJ393329 HSF393329 ICB393329 ILX393329 IVT393329 JFP393329 JPL393329 JZH393329 KJD393329 KSZ393329 LCV393329 LMR393329 LWN393329 MGJ393329 MQF393329 NAB393329 NJX393329 NTT393329 ODP393329 ONL393329 OXH393329 PHD393329 PQZ393329 QAV393329 QKR393329 QUN393329 REJ393329 ROF393329 RYB393329 SHX393329 SRT393329 TBP393329 TLL393329 TVH393329 UFD393329 UOZ393329 UYV393329 VIR393329 VSN393329 WCJ393329 WMF393329 WWB393329 T458865 JP458865 TL458865 ADH458865 AND458865 AWZ458865 BGV458865 BQR458865 CAN458865 CKJ458865 CUF458865 DEB458865 DNX458865 DXT458865 EHP458865 ERL458865 FBH458865 FLD458865 FUZ458865 GEV458865 GOR458865 GYN458865 HIJ458865 HSF458865 ICB458865 ILX458865 IVT458865 JFP458865 JPL458865 JZH458865 KJD458865 KSZ458865 LCV458865 LMR458865 LWN458865 MGJ458865 MQF458865 NAB458865 NJX458865 NTT458865 ODP458865 ONL458865 OXH458865 PHD458865 PQZ458865 QAV458865 QKR458865 QUN458865 REJ458865 ROF458865 RYB458865 SHX458865 SRT458865 TBP458865 TLL458865 TVH458865 UFD458865 UOZ458865 UYV458865 VIR458865 VSN458865 WCJ458865 WMF458865 WWB458865 T524401 JP524401 TL524401 ADH524401 AND524401 AWZ524401 BGV524401 BQR524401 CAN524401 CKJ524401 CUF524401 DEB524401 DNX524401 DXT524401 EHP524401 ERL524401 FBH524401 FLD524401 FUZ524401 GEV524401 GOR524401 GYN524401 HIJ524401 HSF524401 ICB524401 ILX524401 IVT524401 JFP524401 JPL524401 JZH524401 KJD524401 KSZ524401 LCV524401 LMR524401 LWN524401 MGJ524401 MQF524401 NAB524401 NJX524401 NTT524401 ODP524401 ONL524401 OXH524401 PHD524401 PQZ524401 QAV524401 QKR524401 QUN524401 REJ524401 ROF524401 RYB524401 SHX524401 SRT524401 TBP524401 TLL524401 TVH524401 UFD524401 UOZ524401 UYV524401 VIR524401 VSN524401 WCJ524401 WMF524401 WWB524401 T589937 JP589937 TL589937 ADH589937 AND589937 AWZ589937 BGV589937 BQR589937 CAN589937 CKJ589937 CUF589937 DEB589937 DNX589937 DXT589937 EHP589937 ERL589937 FBH589937 FLD589937 FUZ589937 GEV589937 GOR589937 GYN589937 HIJ589937 HSF589937 ICB589937 ILX589937 IVT589937 JFP589937 JPL589937 JZH589937 KJD589937 KSZ589937 LCV589937 LMR589937 LWN589937 MGJ589937 MQF589937 NAB589937 NJX589937 NTT589937 ODP589937 ONL589937 OXH589937 PHD589937 PQZ589937 QAV589937 QKR589937 QUN589937 REJ589937 ROF589937 RYB589937 SHX589937 SRT589937 TBP589937 TLL589937 TVH589937 UFD589937 UOZ589937 UYV589937 VIR589937 VSN589937 WCJ589937 WMF589937 WWB589937 T655473 JP655473 TL655473 ADH655473 AND655473 AWZ655473 BGV655473 BQR655473 CAN655473 CKJ655473 CUF655473 DEB655473 DNX655473 DXT655473 EHP655473 ERL655473 FBH655473 FLD655473 FUZ655473 GEV655473 GOR655473 GYN655473 HIJ655473 HSF655473 ICB655473 ILX655473 IVT655473 JFP655473 JPL655473 JZH655473 KJD655473 KSZ655473 LCV655473 LMR655473 LWN655473 MGJ655473 MQF655473 NAB655473 NJX655473 NTT655473 ODP655473 ONL655473 OXH655473 PHD655473 PQZ655473 QAV655473 QKR655473 QUN655473 REJ655473 ROF655473 RYB655473 SHX655473 SRT655473 TBP655473 TLL655473 TVH655473 UFD655473 UOZ655473 UYV655473 VIR655473 VSN655473 WCJ655473 WMF655473 WWB655473 T721009 JP721009 TL721009 ADH721009 AND721009 AWZ721009 BGV721009 BQR721009 CAN721009 CKJ721009 CUF721009 DEB721009 DNX721009 DXT721009 EHP721009 ERL721009 FBH721009 FLD721009 FUZ721009 GEV721009 GOR721009 GYN721009 HIJ721009 HSF721009 ICB721009 ILX721009 IVT721009 JFP721009 JPL721009 JZH721009 KJD721009 KSZ721009 LCV721009 LMR721009 LWN721009 MGJ721009 MQF721009 NAB721009 NJX721009 NTT721009 ODP721009 ONL721009 OXH721009 PHD721009 PQZ721009 QAV721009 QKR721009 QUN721009 REJ721009 ROF721009 RYB721009 SHX721009 SRT721009 TBP721009 TLL721009 TVH721009 UFD721009 UOZ721009 UYV721009 VIR721009 VSN721009 WCJ721009 WMF721009 WWB721009 T786545 JP786545 TL786545 ADH786545 AND786545 AWZ786545 BGV786545 BQR786545 CAN786545 CKJ786545 CUF786545 DEB786545 DNX786545 DXT786545 EHP786545 ERL786545 FBH786545 FLD786545 FUZ786545 GEV786545 GOR786545 GYN786545 HIJ786545 HSF786545 ICB786545 ILX786545 IVT786545 JFP786545 JPL786545 JZH786545 KJD786545 KSZ786545 LCV786545 LMR786545 LWN786545 MGJ786545 MQF786545 NAB786545 NJX786545 NTT786545 ODP786545 ONL786545 OXH786545 PHD786545 PQZ786545 QAV786545 QKR786545 QUN786545 REJ786545 ROF786545 RYB786545 SHX786545 SRT786545 TBP786545 TLL786545 TVH786545 UFD786545 UOZ786545 UYV786545 VIR786545 VSN786545 WCJ786545 WMF786545 WWB786545 T852081 JP852081 TL852081 ADH852081 AND852081 AWZ852081 BGV852081 BQR852081 CAN852081 CKJ852081 CUF852081 DEB852081 DNX852081 DXT852081 EHP852081 ERL852081 FBH852081 FLD852081 FUZ852081 GEV852081 GOR852081 GYN852081 HIJ852081 HSF852081 ICB852081 ILX852081 IVT852081 JFP852081 JPL852081 JZH852081 KJD852081 KSZ852081 LCV852081 LMR852081 LWN852081 MGJ852081 MQF852081 NAB852081 NJX852081 NTT852081 ODP852081 ONL852081 OXH852081 PHD852081 PQZ852081 QAV852081 QKR852081 QUN852081 REJ852081 ROF852081 RYB852081 SHX852081 SRT852081 TBP852081 TLL852081 TVH852081 UFD852081 UOZ852081 UYV852081 VIR852081 VSN852081 WCJ852081 WMF852081 WWB852081 T917617 JP917617 TL917617 ADH917617 AND917617 AWZ917617 BGV917617 BQR917617 CAN917617 CKJ917617 CUF917617 DEB917617 DNX917617 DXT917617 EHP917617 ERL917617 FBH917617 FLD917617 FUZ917617 GEV917617 GOR917617 GYN917617 HIJ917617 HSF917617 ICB917617 ILX917617 IVT917617 JFP917617 JPL917617 JZH917617 KJD917617 KSZ917617 LCV917617 LMR917617 LWN917617 MGJ917617 MQF917617 NAB917617 NJX917617 NTT917617 ODP917617 ONL917617 OXH917617 PHD917617 PQZ917617 QAV917617 QKR917617 QUN917617 REJ917617 ROF917617 RYB917617 SHX917617 SRT917617 TBP917617 TLL917617 TVH917617 UFD917617 UOZ917617 UYV917617 VIR917617 VSN917617 WCJ917617 WMF917617 WWB917617 T983153 JP983153 TL983153 ADH983153 AND983153 AWZ983153 BGV983153 BQR983153 CAN983153 CKJ983153 CUF983153 DEB983153 DNX983153 DXT983153 EHP983153 ERL983153 FBH983153 FLD983153 FUZ983153 GEV983153 GOR983153 GYN983153 HIJ983153 HSF983153 ICB983153 ILX983153 IVT983153 JFP983153 JPL983153 JZH983153 KJD983153 KSZ983153 LCV983153 LMR983153 LWN983153 MGJ983153 MQF983153 NAB983153 NJX983153 NTT983153 ODP983153 ONL983153 OXH983153 PHD983153 PQZ983153 QAV983153 QKR983153 QUN983153 REJ983153 ROF983153 RYB983153 SHX983153 SRT983153 TBP983153 TLL983153 TVH983153 UFD983153 UOZ983153 UYV983153 VIR983153 VSN983153 WCJ983153 WMF983153 WWB983153"/>
    <dataValidation allowBlank="1" showInputMessage="1" showErrorMessage="1" prompt="Bộ Quốc phòng_x000a_" sqref="Q65578 JM65578 TI65578 ADE65578 ANA65578 AWW65578 BGS65578 BQO65578 CAK65578 CKG65578 CUC65578 DDY65578 DNU65578 DXQ65578 EHM65578 ERI65578 FBE65578 FLA65578 FUW65578 GES65578 GOO65578 GYK65578 HIG65578 HSC65578 IBY65578 ILU65578 IVQ65578 JFM65578 JPI65578 JZE65578 KJA65578 KSW65578 LCS65578 LMO65578 LWK65578 MGG65578 MQC65578 MZY65578 NJU65578 NTQ65578 ODM65578 ONI65578 OXE65578 PHA65578 PQW65578 QAS65578 QKO65578 QUK65578 REG65578 ROC65578 RXY65578 SHU65578 SRQ65578 TBM65578 TLI65578 TVE65578 UFA65578 UOW65578 UYS65578 VIO65578 VSK65578 WCG65578 WMC65578 WVY65578 Q131114 JM131114 TI131114 ADE131114 ANA131114 AWW131114 BGS131114 BQO131114 CAK131114 CKG131114 CUC131114 DDY131114 DNU131114 DXQ131114 EHM131114 ERI131114 FBE131114 FLA131114 FUW131114 GES131114 GOO131114 GYK131114 HIG131114 HSC131114 IBY131114 ILU131114 IVQ131114 JFM131114 JPI131114 JZE131114 KJA131114 KSW131114 LCS131114 LMO131114 LWK131114 MGG131114 MQC131114 MZY131114 NJU131114 NTQ131114 ODM131114 ONI131114 OXE131114 PHA131114 PQW131114 QAS131114 QKO131114 QUK131114 REG131114 ROC131114 RXY131114 SHU131114 SRQ131114 TBM131114 TLI131114 TVE131114 UFA131114 UOW131114 UYS131114 VIO131114 VSK131114 WCG131114 WMC131114 WVY131114 Q196650 JM196650 TI196650 ADE196650 ANA196650 AWW196650 BGS196650 BQO196650 CAK196650 CKG196650 CUC196650 DDY196650 DNU196650 DXQ196650 EHM196650 ERI196650 FBE196650 FLA196650 FUW196650 GES196650 GOO196650 GYK196650 HIG196650 HSC196650 IBY196650 ILU196650 IVQ196650 JFM196650 JPI196650 JZE196650 KJA196650 KSW196650 LCS196650 LMO196650 LWK196650 MGG196650 MQC196650 MZY196650 NJU196650 NTQ196650 ODM196650 ONI196650 OXE196650 PHA196650 PQW196650 QAS196650 QKO196650 QUK196650 REG196650 ROC196650 RXY196650 SHU196650 SRQ196650 TBM196650 TLI196650 TVE196650 UFA196650 UOW196650 UYS196650 VIO196650 VSK196650 WCG196650 WMC196650 WVY196650 Q262186 JM262186 TI262186 ADE262186 ANA262186 AWW262186 BGS262186 BQO262186 CAK262186 CKG262186 CUC262186 DDY262186 DNU262186 DXQ262186 EHM262186 ERI262186 FBE262186 FLA262186 FUW262186 GES262186 GOO262186 GYK262186 HIG262186 HSC262186 IBY262186 ILU262186 IVQ262186 JFM262186 JPI262186 JZE262186 KJA262186 KSW262186 LCS262186 LMO262186 LWK262186 MGG262186 MQC262186 MZY262186 NJU262186 NTQ262186 ODM262186 ONI262186 OXE262186 PHA262186 PQW262186 QAS262186 QKO262186 QUK262186 REG262186 ROC262186 RXY262186 SHU262186 SRQ262186 TBM262186 TLI262186 TVE262186 UFA262186 UOW262186 UYS262186 VIO262186 VSK262186 WCG262186 WMC262186 WVY262186 Q327722 JM327722 TI327722 ADE327722 ANA327722 AWW327722 BGS327722 BQO327722 CAK327722 CKG327722 CUC327722 DDY327722 DNU327722 DXQ327722 EHM327722 ERI327722 FBE327722 FLA327722 FUW327722 GES327722 GOO327722 GYK327722 HIG327722 HSC327722 IBY327722 ILU327722 IVQ327722 JFM327722 JPI327722 JZE327722 KJA327722 KSW327722 LCS327722 LMO327722 LWK327722 MGG327722 MQC327722 MZY327722 NJU327722 NTQ327722 ODM327722 ONI327722 OXE327722 PHA327722 PQW327722 QAS327722 QKO327722 QUK327722 REG327722 ROC327722 RXY327722 SHU327722 SRQ327722 TBM327722 TLI327722 TVE327722 UFA327722 UOW327722 UYS327722 VIO327722 VSK327722 WCG327722 WMC327722 WVY327722 Q393258 JM393258 TI393258 ADE393258 ANA393258 AWW393258 BGS393258 BQO393258 CAK393258 CKG393258 CUC393258 DDY393258 DNU393258 DXQ393258 EHM393258 ERI393258 FBE393258 FLA393258 FUW393258 GES393258 GOO393258 GYK393258 HIG393258 HSC393258 IBY393258 ILU393258 IVQ393258 JFM393258 JPI393258 JZE393258 KJA393258 KSW393258 LCS393258 LMO393258 LWK393258 MGG393258 MQC393258 MZY393258 NJU393258 NTQ393258 ODM393258 ONI393258 OXE393258 PHA393258 PQW393258 QAS393258 QKO393258 QUK393258 REG393258 ROC393258 RXY393258 SHU393258 SRQ393258 TBM393258 TLI393258 TVE393258 UFA393258 UOW393258 UYS393258 VIO393258 VSK393258 WCG393258 WMC393258 WVY393258 Q458794 JM458794 TI458794 ADE458794 ANA458794 AWW458794 BGS458794 BQO458794 CAK458794 CKG458794 CUC458794 DDY458794 DNU458794 DXQ458794 EHM458794 ERI458794 FBE458794 FLA458794 FUW458794 GES458794 GOO458794 GYK458794 HIG458794 HSC458794 IBY458794 ILU458794 IVQ458794 JFM458794 JPI458794 JZE458794 KJA458794 KSW458794 LCS458794 LMO458794 LWK458794 MGG458794 MQC458794 MZY458794 NJU458794 NTQ458794 ODM458794 ONI458794 OXE458794 PHA458794 PQW458794 QAS458794 QKO458794 QUK458794 REG458794 ROC458794 RXY458794 SHU458794 SRQ458794 TBM458794 TLI458794 TVE458794 UFA458794 UOW458794 UYS458794 VIO458794 VSK458794 WCG458794 WMC458794 WVY458794 Q524330 JM524330 TI524330 ADE524330 ANA524330 AWW524330 BGS524330 BQO524330 CAK524330 CKG524330 CUC524330 DDY524330 DNU524330 DXQ524330 EHM524330 ERI524330 FBE524330 FLA524330 FUW524330 GES524330 GOO524330 GYK524330 HIG524330 HSC524330 IBY524330 ILU524330 IVQ524330 JFM524330 JPI524330 JZE524330 KJA524330 KSW524330 LCS524330 LMO524330 LWK524330 MGG524330 MQC524330 MZY524330 NJU524330 NTQ524330 ODM524330 ONI524330 OXE524330 PHA524330 PQW524330 QAS524330 QKO524330 QUK524330 REG524330 ROC524330 RXY524330 SHU524330 SRQ524330 TBM524330 TLI524330 TVE524330 UFA524330 UOW524330 UYS524330 VIO524330 VSK524330 WCG524330 WMC524330 WVY524330 Q589866 JM589866 TI589866 ADE589866 ANA589866 AWW589866 BGS589866 BQO589866 CAK589866 CKG589866 CUC589866 DDY589866 DNU589866 DXQ589866 EHM589866 ERI589866 FBE589866 FLA589866 FUW589866 GES589866 GOO589866 GYK589866 HIG589866 HSC589866 IBY589866 ILU589866 IVQ589866 JFM589866 JPI589866 JZE589866 KJA589866 KSW589866 LCS589866 LMO589866 LWK589866 MGG589866 MQC589866 MZY589866 NJU589866 NTQ589866 ODM589866 ONI589866 OXE589866 PHA589866 PQW589866 QAS589866 QKO589866 QUK589866 REG589866 ROC589866 RXY589866 SHU589866 SRQ589866 TBM589866 TLI589866 TVE589866 UFA589866 UOW589866 UYS589866 VIO589866 VSK589866 WCG589866 WMC589866 WVY589866 Q655402 JM655402 TI655402 ADE655402 ANA655402 AWW655402 BGS655402 BQO655402 CAK655402 CKG655402 CUC655402 DDY655402 DNU655402 DXQ655402 EHM655402 ERI655402 FBE655402 FLA655402 FUW655402 GES655402 GOO655402 GYK655402 HIG655402 HSC655402 IBY655402 ILU655402 IVQ655402 JFM655402 JPI655402 JZE655402 KJA655402 KSW655402 LCS655402 LMO655402 LWK655402 MGG655402 MQC655402 MZY655402 NJU655402 NTQ655402 ODM655402 ONI655402 OXE655402 PHA655402 PQW655402 QAS655402 QKO655402 QUK655402 REG655402 ROC655402 RXY655402 SHU655402 SRQ655402 TBM655402 TLI655402 TVE655402 UFA655402 UOW655402 UYS655402 VIO655402 VSK655402 WCG655402 WMC655402 WVY655402 Q720938 JM720938 TI720938 ADE720938 ANA720938 AWW720938 BGS720938 BQO720938 CAK720938 CKG720938 CUC720938 DDY720938 DNU720938 DXQ720938 EHM720938 ERI720938 FBE720938 FLA720938 FUW720938 GES720938 GOO720938 GYK720938 HIG720938 HSC720938 IBY720938 ILU720938 IVQ720938 JFM720938 JPI720938 JZE720938 KJA720938 KSW720938 LCS720938 LMO720938 LWK720938 MGG720938 MQC720938 MZY720938 NJU720938 NTQ720938 ODM720938 ONI720938 OXE720938 PHA720938 PQW720938 QAS720938 QKO720938 QUK720938 REG720938 ROC720938 RXY720938 SHU720938 SRQ720938 TBM720938 TLI720938 TVE720938 UFA720938 UOW720938 UYS720938 VIO720938 VSK720938 WCG720938 WMC720938 WVY720938 Q786474 JM786474 TI786474 ADE786474 ANA786474 AWW786474 BGS786474 BQO786474 CAK786474 CKG786474 CUC786474 DDY786474 DNU786474 DXQ786474 EHM786474 ERI786474 FBE786474 FLA786474 FUW786474 GES786474 GOO786474 GYK786474 HIG786474 HSC786474 IBY786474 ILU786474 IVQ786474 JFM786474 JPI786474 JZE786474 KJA786474 KSW786474 LCS786474 LMO786474 LWK786474 MGG786474 MQC786474 MZY786474 NJU786474 NTQ786474 ODM786474 ONI786474 OXE786474 PHA786474 PQW786474 QAS786474 QKO786474 QUK786474 REG786474 ROC786474 RXY786474 SHU786474 SRQ786474 TBM786474 TLI786474 TVE786474 UFA786474 UOW786474 UYS786474 VIO786474 VSK786474 WCG786474 WMC786474 WVY786474 Q852010 JM852010 TI852010 ADE852010 ANA852010 AWW852010 BGS852010 BQO852010 CAK852010 CKG852010 CUC852010 DDY852010 DNU852010 DXQ852010 EHM852010 ERI852010 FBE852010 FLA852010 FUW852010 GES852010 GOO852010 GYK852010 HIG852010 HSC852010 IBY852010 ILU852010 IVQ852010 JFM852010 JPI852010 JZE852010 KJA852010 KSW852010 LCS852010 LMO852010 LWK852010 MGG852010 MQC852010 MZY852010 NJU852010 NTQ852010 ODM852010 ONI852010 OXE852010 PHA852010 PQW852010 QAS852010 QKO852010 QUK852010 REG852010 ROC852010 RXY852010 SHU852010 SRQ852010 TBM852010 TLI852010 TVE852010 UFA852010 UOW852010 UYS852010 VIO852010 VSK852010 WCG852010 WMC852010 WVY852010 Q917546 JM917546 TI917546 ADE917546 ANA917546 AWW917546 BGS917546 BQO917546 CAK917546 CKG917546 CUC917546 DDY917546 DNU917546 DXQ917546 EHM917546 ERI917546 FBE917546 FLA917546 FUW917546 GES917546 GOO917546 GYK917546 HIG917546 HSC917546 IBY917546 ILU917546 IVQ917546 JFM917546 JPI917546 JZE917546 KJA917546 KSW917546 LCS917546 LMO917546 LWK917546 MGG917546 MQC917546 MZY917546 NJU917546 NTQ917546 ODM917546 ONI917546 OXE917546 PHA917546 PQW917546 QAS917546 QKO917546 QUK917546 REG917546 ROC917546 RXY917546 SHU917546 SRQ917546 TBM917546 TLI917546 TVE917546 UFA917546 UOW917546 UYS917546 VIO917546 VSK917546 WCG917546 WMC917546 WVY917546 Q983082 JM983082 TI983082 ADE983082 ANA983082 AWW983082 BGS983082 BQO983082 CAK983082 CKG983082 CUC983082 DDY983082 DNU983082 DXQ983082 EHM983082 ERI983082 FBE983082 FLA983082 FUW983082 GES983082 GOO983082 GYK983082 HIG983082 HSC983082 IBY983082 ILU983082 IVQ983082 JFM983082 JPI983082 JZE983082 KJA983082 KSW983082 LCS983082 LMO983082 LWK983082 MGG983082 MQC983082 MZY983082 NJU983082 NTQ983082 ODM983082 ONI983082 OXE983082 PHA983082 PQW983082 QAS983082 QKO983082 QUK983082 REG983082 ROC983082 RXY983082 SHU983082 SRQ983082 TBM983082 TLI983082 TVE983082 UFA983082 UOW983082 UYS983082 VIO983082 VSK983082 WCG983082 WMC983082 WVY983082"/>
    <dataValidation allowBlank="1" showInputMessage="1" showErrorMessage="1" prompt="_x000a_" sqref="O36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dataValidations>
  <printOptions horizontalCentered="1"/>
  <pageMargins left="0" right="0" top="0.74803149606299213" bottom="0.51181102362204722"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51"/>
  <sheetViews>
    <sheetView zoomScale="80" zoomScaleNormal="80" workbookViewId="0">
      <pane xSplit="2" ySplit="9" topLeftCell="C10" activePane="bottomRight" state="frozen"/>
      <selection pane="topRight" activeCell="C1" sqref="C1"/>
      <selection pane="bottomLeft" activeCell="A10" sqref="A10"/>
      <selection pane="bottomRight" activeCell="F11" sqref="F11"/>
    </sheetView>
  </sheetViews>
  <sheetFormatPr defaultColWidth="9.109375" defaultRowHeight="13.8" x14ac:dyDescent="0.25"/>
  <cols>
    <col min="1" max="1" width="6.44140625" style="27" customWidth="1"/>
    <col min="2" max="2" width="20.44140625" style="27" customWidth="1"/>
    <col min="3" max="3" width="12.44140625" style="27" customWidth="1"/>
    <col min="4" max="4" width="12.88671875" style="27" customWidth="1"/>
    <col min="5" max="5" width="11.44140625" style="27" customWidth="1"/>
    <col min="6" max="7" width="10.5546875" style="27" customWidth="1"/>
    <col min="8" max="8" width="10.44140625" style="27" customWidth="1"/>
    <col min="9" max="9" width="12.44140625" style="27" customWidth="1"/>
    <col min="10" max="10" width="13.44140625" style="27" customWidth="1"/>
    <col min="11" max="11" width="12" style="27" customWidth="1"/>
    <col min="12" max="12" width="11.44140625" style="27" customWidth="1"/>
    <col min="13" max="13" width="11" style="27" customWidth="1"/>
    <col min="14" max="14" width="11.44140625" style="27" customWidth="1"/>
    <col min="15" max="15" width="7.44140625" style="27" customWidth="1"/>
    <col min="16" max="16" width="8.5546875" style="27" customWidth="1"/>
    <col min="17" max="18" width="7.44140625" style="27" customWidth="1"/>
    <col min="19" max="19" width="9" style="27" customWidth="1"/>
    <col min="20" max="20" width="7.44140625" style="27" customWidth="1"/>
    <col min="21" max="22" width="9.109375" style="27"/>
    <col min="23" max="23" width="9.44140625" style="27" bestFit="1" customWidth="1"/>
    <col min="24" max="16384" width="9.109375" style="27"/>
  </cols>
  <sheetData>
    <row r="1" spans="1:23" s="6" customFormat="1" ht="15.6" x14ac:dyDescent="0.3">
      <c r="A1" s="4"/>
      <c r="R1" s="4" t="s">
        <v>108</v>
      </c>
    </row>
    <row r="2" spans="1:23" s="6" customFormat="1" ht="15.6" x14ac:dyDescent="0.3">
      <c r="A2" s="3"/>
    </row>
    <row r="3" spans="1:23" s="6" customFormat="1" ht="16.8" x14ac:dyDescent="0.3">
      <c r="A3" s="306" t="s">
        <v>255</v>
      </c>
      <c r="B3" s="306"/>
      <c r="C3" s="306"/>
      <c r="D3" s="306"/>
      <c r="E3" s="306"/>
      <c r="F3" s="306"/>
      <c r="G3" s="306"/>
      <c r="H3" s="306"/>
      <c r="I3" s="306"/>
      <c r="J3" s="306"/>
      <c r="K3" s="306"/>
      <c r="L3" s="306"/>
      <c r="M3" s="306"/>
      <c r="N3" s="306"/>
      <c r="O3" s="306"/>
      <c r="P3" s="306"/>
      <c r="Q3" s="306"/>
      <c r="R3" s="306"/>
      <c r="S3" s="306"/>
      <c r="T3" s="306"/>
    </row>
    <row r="4" spans="1:23" s="6" customFormat="1" ht="15.6" x14ac:dyDescent="0.3">
      <c r="A4" s="307" t="s">
        <v>539</v>
      </c>
      <c r="B4" s="307"/>
      <c r="C4" s="307"/>
      <c r="D4" s="307"/>
      <c r="E4" s="307"/>
      <c r="F4" s="307"/>
      <c r="G4" s="307"/>
      <c r="H4" s="307"/>
      <c r="I4" s="307"/>
      <c r="J4" s="307"/>
      <c r="K4" s="307"/>
      <c r="L4" s="307"/>
      <c r="M4" s="307"/>
      <c r="N4" s="307"/>
      <c r="O4" s="307"/>
      <c r="P4" s="307"/>
      <c r="Q4" s="307"/>
      <c r="R4" s="307"/>
      <c r="S4" s="307"/>
      <c r="T4" s="307"/>
    </row>
    <row r="5" spans="1:23" s="6" customFormat="1" ht="15.6" x14ac:dyDescent="0.3">
      <c r="B5" s="34"/>
      <c r="C5" s="14"/>
      <c r="D5" s="8"/>
      <c r="I5" s="8"/>
      <c r="J5" s="8"/>
      <c r="S5" s="1" t="s">
        <v>1</v>
      </c>
    </row>
    <row r="6" spans="1:23" s="11" customFormat="1" ht="15.6" x14ac:dyDescent="0.3">
      <c r="A6" s="305" t="s">
        <v>2</v>
      </c>
      <c r="B6" s="305" t="s">
        <v>109</v>
      </c>
      <c r="C6" s="305" t="s">
        <v>156</v>
      </c>
      <c r="D6" s="305"/>
      <c r="E6" s="305"/>
      <c r="F6" s="305"/>
      <c r="G6" s="305"/>
      <c r="H6" s="305"/>
      <c r="I6" s="305" t="s">
        <v>157</v>
      </c>
      <c r="J6" s="305"/>
      <c r="K6" s="305"/>
      <c r="L6" s="305"/>
      <c r="M6" s="305"/>
      <c r="N6" s="305"/>
      <c r="O6" s="305" t="s">
        <v>112</v>
      </c>
      <c r="P6" s="305"/>
      <c r="Q6" s="305"/>
      <c r="R6" s="305"/>
      <c r="S6" s="305"/>
      <c r="T6" s="305"/>
    </row>
    <row r="7" spans="1:23" s="11" customFormat="1" ht="15.6" x14ac:dyDescent="0.3">
      <c r="A7" s="305"/>
      <c r="B7" s="305"/>
      <c r="C7" s="305" t="s">
        <v>113</v>
      </c>
      <c r="D7" s="305" t="s">
        <v>114</v>
      </c>
      <c r="E7" s="305" t="s">
        <v>115</v>
      </c>
      <c r="F7" s="305"/>
      <c r="G7" s="305"/>
      <c r="H7" s="305"/>
      <c r="I7" s="305" t="s">
        <v>113</v>
      </c>
      <c r="J7" s="305" t="s">
        <v>114</v>
      </c>
      <c r="K7" s="305" t="s">
        <v>115</v>
      </c>
      <c r="L7" s="305"/>
      <c r="M7" s="305"/>
      <c r="N7" s="305"/>
      <c r="O7" s="305" t="s">
        <v>113</v>
      </c>
      <c r="P7" s="305" t="s">
        <v>114</v>
      </c>
      <c r="Q7" s="305" t="s">
        <v>115</v>
      </c>
      <c r="R7" s="305"/>
      <c r="S7" s="305"/>
      <c r="T7" s="305"/>
    </row>
    <row r="8" spans="1:23" s="37" customFormat="1" ht="145.5" customHeight="1" x14ac:dyDescent="0.25">
      <c r="A8" s="305"/>
      <c r="B8" s="305"/>
      <c r="C8" s="305"/>
      <c r="D8" s="305"/>
      <c r="E8" s="36" t="s">
        <v>113</v>
      </c>
      <c r="F8" s="36" t="s">
        <v>116</v>
      </c>
      <c r="G8" s="36" t="s">
        <v>117</v>
      </c>
      <c r="H8" s="36" t="s">
        <v>118</v>
      </c>
      <c r="I8" s="305"/>
      <c r="J8" s="305"/>
      <c r="K8" s="36" t="s">
        <v>113</v>
      </c>
      <c r="L8" s="36" t="s">
        <v>116</v>
      </c>
      <c r="M8" s="36" t="s">
        <v>117</v>
      </c>
      <c r="N8" s="36" t="s">
        <v>118</v>
      </c>
      <c r="O8" s="305"/>
      <c r="P8" s="305"/>
      <c r="Q8" s="36" t="s">
        <v>113</v>
      </c>
      <c r="R8" s="29" t="s">
        <v>116</v>
      </c>
      <c r="S8" s="29" t="s">
        <v>117</v>
      </c>
      <c r="T8" s="29" t="s">
        <v>118</v>
      </c>
      <c r="U8" s="168"/>
    </row>
    <row r="9" spans="1:23" s="35" customFormat="1" ht="26.4" x14ac:dyDescent="0.25">
      <c r="A9" s="30" t="s">
        <v>7</v>
      </c>
      <c r="B9" s="30" t="s">
        <v>8</v>
      </c>
      <c r="C9" s="30">
        <v>1</v>
      </c>
      <c r="D9" s="30">
        <v>2</v>
      </c>
      <c r="E9" s="30">
        <v>3</v>
      </c>
      <c r="F9" s="30">
        <v>4</v>
      </c>
      <c r="G9" s="30">
        <v>5</v>
      </c>
      <c r="H9" s="30">
        <v>6</v>
      </c>
      <c r="I9" s="30">
        <v>7</v>
      </c>
      <c r="J9" s="30">
        <v>8</v>
      </c>
      <c r="K9" s="30">
        <v>9</v>
      </c>
      <c r="L9" s="30">
        <v>10</v>
      </c>
      <c r="M9" s="30">
        <v>11</v>
      </c>
      <c r="N9" s="30">
        <v>12</v>
      </c>
      <c r="O9" s="30" t="s">
        <v>119</v>
      </c>
      <c r="P9" s="30" t="s">
        <v>120</v>
      </c>
      <c r="Q9" s="30" t="s">
        <v>121</v>
      </c>
      <c r="R9" s="30" t="s">
        <v>122</v>
      </c>
      <c r="S9" s="30" t="s">
        <v>123</v>
      </c>
      <c r="T9" s="30" t="s">
        <v>124</v>
      </c>
    </row>
    <row r="10" spans="1:23" s="6" customFormat="1" ht="15.6" x14ac:dyDescent="0.3">
      <c r="A10" s="9"/>
      <c r="B10" s="9" t="s">
        <v>101</v>
      </c>
      <c r="C10" s="21">
        <f>SUM(C11:C20)</f>
        <v>2882653.92</v>
      </c>
      <c r="D10" s="21">
        <f t="shared" ref="D10:N10" si="0">SUM(D11:D20)</f>
        <v>2011709.4</v>
      </c>
      <c r="E10" s="21">
        <f t="shared" si="0"/>
        <v>870944.52</v>
      </c>
      <c r="F10" s="21">
        <f t="shared" si="0"/>
        <v>124127</v>
      </c>
      <c r="G10" s="21">
        <f t="shared" si="0"/>
        <v>242697.52000000002</v>
      </c>
      <c r="H10" s="21">
        <f t="shared" si="0"/>
        <v>504120</v>
      </c>
      <c r="I10" s="21">
        <f t="shared" si="0"/>
        <v>3298196.1259999997</v>
      </c>
      <c r="J10" s="42">
        <f t="shared" si="0"/>
        <v>2011709.4</v>
      </c>
      <c r="K10" s="42">
        <f t="shared" si="0"/>
        <v>1286486.726</v>
      </c>
      <c r="L10" s="42">
        <f t="shared" si="0"/>
        <v>210270.30799999999</v>
      </c>
      <c r="M10" s="42">
        <f t="shared" si="0"/>
        <v>568916.41800000006</v>
      </c>
      <c r="N10" s="42">
        <f t="shared" si="0"/>
        <v>507300</v>
      </c>
      <c r="O10" s="223">
        <f t="shared" ref="O10:T20" si="1">I10/C10%</f>
        <v>114.41526515260631</v>
      </c>
      <c r="P10" s="224">
        <f t="shared" si="1"/>
        <v>100.00000000000001</v>
      </c>
      <c r="Q10" s="224">
        <f t="shared" si="1"/>
        <v>147.71167352887184</v>
      </c>
      <c r="R10" s="224">
        <f t="shared" si="1"/>
        <v>169.39933133000878</v>
      </c>
      <c r="S10" s="224">
        <f t="shared" si="1"/>
        <v>234.41377480907099</v>
      </c>
      <c r="T10" s="224">
        <f>N10/H10%</f>
        <v>100.63080218995478</v>
      </c>
      <c r="W10" s="8"/>
    </row>
    <row r="11" spans="1:23" s="6" customFormat="1" ht="15.6" x14ac:dyDescent="0.3">
      <c r="A11" s="225">
        <v>1</v>
      </c>
      <c r="B11" s="226" t="s">
        <v>140</v>
      </c>
      <c r="C11" s="12">
        <f>D11+E11</f>
        <v>306706.60000000003</v>
      </c>
      <c r="D11" s="12">
        <v>249219.40000000002</v>
      </c>
      <c r="E11" s="22">
        <f>F11+G11+H11</f>
        <v>57487.199999999997</v>
      </c>
      <c r="F11" s="22">
        <v>20932</v>
      </c>
      <c r="G11" s="22">
        <v>26351.200000000001</v>
      </c>
      <c r="H11" s="22">
        <v>10204</v>
      </c>
      <c r="I11" s="22">
        <f>J11+K11</f>
        <v>360120.66500000004</v>
      </c>
      <c r="J11" s="24">
        <v>249219.40000000002</v>
      </c>
      <c r="K11" s="24">
        <f>L11+M11+N11</f>
        <v>110901.265</v>
      </c>
      <c r="L11" s="24">
        <v>33932</v>
      </c>
      <c r="M11" s="24">
        <v>66415.264999999999</v>
      </c>
      <c r="N11" s="24">
        <v>10554</v>
      </c>
      <c r="O11" s="43">
        <f t="shared" si="1"/>
        <v>117.41536210828198</v>
      </c>
      <c r="P11" s="13">
        <f t="shared" si="1"/>
        <v>99.999999999999986</v>
      </c>
      <c r="Q11" s="13">
        <f t="shared" si="1"/>
        <v>192.91470970929183</v>
      </c>
      <c r="R11" s="13">
        <f t="shared" si="1"/>
        <v>162.10586661570801</v>
      </c>
      <c r="S11" s="13">
        <f>M11/G11%</f>
        <v>252.0388635052673</v>
      </c>
      <c r="T11" s="13">
        <f>N11/H11%</f>
        <v>103.43002744021952</v>
      </c>
      <c r="W11" s="8"/>
    </row>
    <row r="12" spans="1:23" s="6" customFormat="1" ht="15.6" x14ac:dyDescent="0.3">
      <c r="A12" s="225">
        <v>2</v>
      </c>
      <c r="B12" s="226" t="s">
        <v>139</v>
      </c>
      <c r="C12" s="12">
        <f t="shared" ref="C12:C20" si="2">D12+E12</f>
        <v>339769</v>
      </c>
      <c r="D12" s="12">
        <v>263005</v>
      </c>
      <c r="E12" s="22">
        <f t="shared" ref="E12:E20" si="3">F12+G12+H12</f>
        <v>76764</v>
      </c>
      <c r="F12" s="22">
        <v>15577</v>
      </c>
      <c r="G12" s="22">
        <v>33768</v>
      </c>
      <c r="H12" s="22">
        <v>27419</v>
      </c>
      <c r="I12" s="22">
        <f t="shared" ref="I12:I20" si="4">J12+K12</f>
        <v>396588.13</v>
      </c>
      <c r="J12" s="24">
        <v>263005</v>
      </c>
      <c r="K12" s="24">
        <f t="shared" ref="K12:K20" si="5">L12+M12+N12</f>
        <v>133583.13</v>
      </c>
      <c r="L12" s="24">
        <v>28363</v>
      </c>
      <c r="M12" s="24">
        <v>76391.13</v>
      </c>
      <c r="N12" s="24">
        <v>28829</v>
      </c>
      <c r="O12" s="43">
        <f t="shared" si="1"/>
        <v>116.72287053851294</v>
      </c>
      <c r="P12" s="13">
        <f t="shared" si="1"/>
        <v>100</v>
      </c>
      <c r="Q12" s="13">
        <f t="shared" si="1"/>
        <v>174.01793809598249</v>
      </c>
      <c r="R12" s="13">
        <f t="shared" si="1"/>
        <v>182.08255761699942</v>
      </c>
      <c r="S12" s="13">
        <f t="shared" si="1"/>
        <v>226.22343638948118</v>
      </c>
      <c r="T12" s="13">
        <f t="shared" si="1"/>
        <v>105.14241949013459</v>
      </c>
      <c r="W12" s="8"/>
    </row>
    <row r="13" spans="1:23" s="6" customFormat="1" ht="15.6" x14ac:dyDescent="0.3">
      <c r="A13" s="225">
        <v>3</v>
      </c>
      <c r="B13" s="226" t="s">
        <v>141</v>
      </c>
      <c r="C13" s="12">
        <f t="shared" si="2"/>
        <v>234955</v>
      </c>
      <c r="D13" s="12">
        <v>180092</v>
      </c>
      <c r="E13" s="22">
        <f t="shared" si="3"/>
        <v>54863</v>
      </c>
      <c r="F13" s="22">
        <v>5482</v>
      </c>
      <c r="G13" s="22">
        <v>20783</v>
      </c>
      <c r="H13" s="22">
        <v>28598</v>
      </c>
      <c r="I13" s="22">
        <f t="shared" si="4"/>
        <v>269992</v>
      </c>
      <c r="J13" s="24">
        <v>180092</v>
      </c>
      <c r="K13" s="24">
        <f t="shared" si="5"/>
        <v>89900</v>
      </c>
      <c r="L13" s="24">
        <v>18904</v>
      </c>
      <c r="M13" s="24">
        <v>41688</v>
      </c>
      <c r="N13" s="24">
        <v>29308</v>
      </c>
      <c r="O13" s="43">
        <f t="shared" si="1"/>
        <v>114.91221723308718</v>
      </c>
      <c r="P13" s="13">
        <f t="shared" si="1"/>
        <v>100</v>
      </c>
      <c r="Q13" s="13">
        <f t="shared" si="1"/>
        <v>163.86271257495946</v>
      </c>
      <c r="R13" s="13">
        <f t="shared" si="1"/>
        <v>344.83765049252099</v>
      </c>
      <c r="S13" s="13">
        <f t="shared" si="1"/>
        <v>200.5870182360583</v>
      </c>
      <c r="T13" s="13">
        <f t="shared" si="1"/>
        <v>102.48269109727953</v>
      </c>
      <c r="W13" s="8"/>
    </row>
    <row r="14" spans="1:23" s="6" customFormat="1" ht="15.6" x14ac:dyDescent="0.3">
      <c r="A14" s="225">
        <v>4</v>
      </c>
      <c r="B14" s="226" t="s">
        <v>142</v>
      </c>
      <c r="C14" s="12">
        <f t="shared" si="2"/>
        <v>278524</v>
      </c>
      <c r="D14" s="12">
        <v>206964</v>
      </c>
      <c r="E14" s="22">
        <f t="shared" si="3"/>
        <v>71560</v>
      </c>
      <c r="F14" s="22">
        <v>20463</v>
      </c>
      <c r="G14" s="22">
        <v>10993</v>
      </c>
      <c r="H14" s="22">
        <v>40104</v>
      </c>
      <c r="I14" s="22">
        <f t="shared" si="4"/>
        <v>333546.97200000001</v>
      </c>
      <c r="J14" s="24">
        <v>206964</v>
      </c>
      <c r="K14" s="24">
        <f t="shared" si="5"/>
        <v>126582.97199999999</v>
      </c>
      <c r="L14" s="24">
        <v>32018</v>
      </c>
      <c r="M14" s="24">
        <v>54460.971999999994</v>
      </c>
      <c r="N14" s="24">
        <v>40104</v>
      </c>
      <c r="O14" s="43">
        <f t="shared" si="1"/>
        <v>119.75519955192372</v>
      </c>
      <c r="P14" s="13">
        <f t="shared" si="1"/>
        <v>100</v>
      </c>
      <c r="Q14" s="13">
        <f t="shared" si="1"/>
        <v>176.89068194522079</v>
      </c>
      <c r="R14" s="13">
        <f t="shared" si="1"/>
        <v>156.46777109905685</v>
      </c>
      <c r="S14" s="13">
        <f t="shared" si="1"/>
        <v>495.41500955153271</v>
      </c>
      <c r="T14" s="13">
        <f t="shared" si="1"/>
        <v>100</v>
      </c>
      <c r="W14" s="8"/>
    </row>
    <row r="15" spans="1:23" s="6" customFormat="1" ht="15.6" x14ac:dyDescent="0.3">
      <c r="A15" s="225">
        <v>5</v>
      </c>
      <c r="B15" s="226" t="s">
        <v>153</v>
      </c>
      <c r="C15" s="12">
        <f t="shared" si="2"/>
        <v>393271</v>
      </c>
      <c r="D15" s="12">
        <v>272226</v>
      </c>
      <c r="E15" s="22">
        <f t="shared" si="3"/>
        <v>121045</v>
      </c>
      <c r="F15" s="22">
        <v>8869</v>
      </c>
      <c r="G15" s="22">
        <v>35293</v>
      </c>
      <c r="H15" s="22">
        <v>76883</v>
      </c>
      <c r="I15" s="22">
        <f t="shared" si="4"/>
        <v>446428.58799999999</v>
      </c>
      <c r="J15" s="24">
        <v>272226</v>
      </c>
      <c r="K15" s="24">
        <f t="shared" si="5"/>
        <v>174202.58799999999</v>
      </c>
      <c r="L15" s="24">
        <v>11503</v>
      </c>
      <c r="M15" s="24">
        <v>85816.587999999989</v>
      </c>
      <c r="N15" s="24">
        <v>76883</v>
      </c>
      <c r="O15" s="43">
        <f t="shared" si="1"/>
        <v>113.51678308342085</v>
      </c>
      <c r="P15" s="13">
        <f t="shared" si="1"/>
        <v>99.999999999999986</v>
      </c>
      <c r="Q15" s="13">
        <f t="shared" si="1"/>
        <v>143.91555867652525</v>
      </c>
      <c r="R15" s="13">
        <f t="shared" si="1"/>
        <v>129.69895140376593</v>
      </c>
      <c r="S15" s="13">
        <f t="shared" si="1"/>
        <v>243.15469923214232</v>
      </c>
      <c r="T15" s="13">
        <f t="shared" si="1"/>
        <v>100</v>
      </c>
      <c r="W15" s="8"/>
    </row>
    <row r="16" spans="1:23" s="6" customFormat="1" ht="15.6" x14ac:dyDescent="0.3">
      <c r="A16" s="225">
        <v>6</v>
      </c>
      <c r="B16" s="226" t="s">
        <v>172</v>
      </c>
      <c r="C16" s="12">
        <f t="shared" si="2"/>
        <v>319005</v>
      </c>
      <c r="D16" s="12">
        <v>212136</v>
      </c>
      <c r="E16" s="22">
        <f t="shared" si="3"/>
        <v>106869</v>
      </c>
      <c r="F16" s="22">
        <v>3596</v>
      </c>
      <c r="G16" s="22">
        <v>34868</v>
      </c>
      <c r="H16" s="22">
        <v>68405</v>
      </c>
      <c r="I16" s="22">
        <f t="shared" si="4"/>
        <v>348317.55099999998</v>
      </c>
      <c r="J16" s="24">
        <v>212136</v>
      </c>
      <c r="K16" s="24">
        <f t="shared" si="5"/>
        <v>136181.55100000001</v>
      </c>
      <c r="L16" s="24">
        <v>6436</v>
      </c>
      <c r="M16" s="24">
        <v>61340.551000000007</v>
      </c>
      <c r="N16" s="24">
        <v>68405</v>
      </c>
      <c r="O16" s="43">
        <f t="shared" si="1"/>
        <v>109.18874343662324</v>
      </c>
      <c r="P16" s="13">
        <f t="shared" si="1"/>
        <v>100</v>
      </c>
      <c r="Q16" s="13">
        <f t="shared" si="1"/>
        <v>127.42848814904228</v>
      </c>
      <c r="R16" s="13">
        <f t="shared" si="1"/>
        <v>178.97664071190212</v>
      </c>
      <c r="S16" s="13">
        <f t="shared" si="1"/>
        <v>175.92219513594128</v>
      </c>
      <c r="T16" s="13">
        <f t="shared" si="1"/>
        <v>100</v>
      </c>
      <c r="W16" s="8"/>
    </row>
    <row r="17" spans="1:23" s="6" customFormat="1" ht="15.6" x14ac:dyDescent="0.3">
      <c r="A17" s="225">
        <v>7</v>
      </c>
      <c r="B17" s="226" t="s">
        <v>155</v>
      </c>
      <c r="C17" s="12">
        <f t="shared" si="2"/>
        <v>129891.32</v>
      </c>
      <c r="D17" s="12">
        <v>63365</v>
      </c>
      <c r="E17" s="22">
        <f t="shared" si="3"/>
        <v>66526.320000000007</v>
      </c>
      <c r="F17" s="22">
        <v>8291</v>
      </c>
      <c r="G17" s="22">
        <v>12555.32</v>
      </c>
      <c r="H17" s="22">
        <v>45680</v>
      </c>
      <c r="I17" s="22">
        <f t="shared" si="4"/>
        <v>152526</v>
      </c>
      <c r="J17" s="24">
        <v>63365</v>
      </c>
      <c r="K17" s="24">
        <f t="shared" si="5"/>
        <v>89161</v>
      </c>
      <c r="L17" s="24">
        <v>19291</v>
      </c>
      <c r="M17" s="24">
        <v>24190</v>
      </c>
      <c r="N17" s="24">
        <v>45680</v>
      </c>
      <c r="O17" s="43">
        <f t="shared" si="1"/>
        <v>117.42586032692562</v>
      </c>
      <c r="P17" s="13">
        <f t="shared" si="1"/>
        <v>100</v>
      </c>
      <c r="Q17" s="13">
        <f t="shared" si="1"/>
        <v>134.02364658078184</v>
      </c>
      <c r="R17" s="13">
        <f t="shared" si="1"/>
        <v>232.67398383789651</v>
      </c>
      <c r="S17" s="13">
        <f t="shared" si="1"/>
        <v>192.66733145789991</v>
      </c>
      <c r="T17" s="13">
        <f t="shared" si="1"/>
        <v>100</v>
      </c>
      <c r="W17" s="8"/>
    </row>
    <row r="18" spans="1:23" s="6" customFormat="1" ht="15.6" x14ac:dyDescent="0.3">
      <c r="A18" s="225">
        <v>8</v>
      </c>
      <c r="B18" s="226" t="s">
        <v>138</v>
      </c>
      <c r="C18" s="12">
        <f t="shared" si="2"/>
        <v>236543</v>
      </c>
      <c r="D18" s="12">
        <v>165144</v>
      </c>
      <c r="E18" s="22">
        <f t="shared" si="3"/>
        <v>71399</v>
      </c>
      <c r="F18" s="22">
        <v>15417</v>
      </c>
      <c r="G18" s="22">
        <v>23961</v>
      </c>
      <c r="H18" s="22">
        <v>32021</v>
      </c>
      <c r="I18" s="22">
        <f t="shared" si="4"/>
        <v>267099.38</v>
      </c>
      <c r="J18" s="24">
        <v>165144</v>
      </c>
      <c r="K18" s="24">
        <f t="shared" si="5"/>
        <v>101955.38</v>
      </c>
      <c r="L18" s="24">
        <v>21417</v>
      </c>
      <c r="M18" s="24">
        <v>48157.380000000005</v>
      </c>
      <c r="N18" s="24">
        <v>32381</v>
      </c>
      <c r="O18" s="43">
        <f t="shared" si="1"/>
        <v>112.91789653466813</v>
      </c>
      <c r="P18" s="13">
        <f t="shared" si="1"/>
        <v>100</v>
      </c>
      <c r="Q18" s="13">
        <f t="shared" si="1"/>
        <v>142.79664981302258</v>
      </c>
      <c r="R18" s="13">
        <f t="shared" si="1"/>
        <v>138.91807744697414</v>
      </c>
      <c r="S18" s="13">
        <f t="shared" si="1"/>
        <v>200.98234631275824</v>
      </c>
      <c r="T18" s="13">
        <f t="shared" si="1"/>
        <v>101.12426220292933</v>
      </c>
      <c r="W18" s="8"/>
    </row>
    <row r="19" spans="1:23" s="6" customFormat="1" ht="15.6" x14ac:dyDescent="0.3">
      <c r="A19" s="225">
        <v>9</v>
      </c>
      <c r="B19" s="226" t="s">
        <v>171</v>
      </c>
      <c r="C19" s="12">
        <f t="shared" si="2"/>
        <v>265071</v>
      </c>
      <c r="D19" s="12">
        <v>172890</v>
      </c>
      <c r="E19" s="22">
        <f t="shared" si="3"/>
        <v>92181</v>
      </c>
      <c r="F19" s="22">
        <v>7695</v>
      </c>
      <c r="G19" s="22">
        <v>23143</v>
      </c>
      <c r="H19" s="22">
        <v>61343</v>
      </c>
      <c r="I19" s="22">
        <f t="shared" si="4"/>
        <v>308922.37699999998</v>
      </c>
      <c r="J19" s="24">
        <v>172890</v>
      </c>
      <c r="K19" s="24">
        <f t="shared" si="5"/>
        <v>136032.37700000001</v>
      </c>
      <c r="L19" s="24">
        <v>9437</v>
      </c>
      <c r="M19" s="24">
        <v>64902.377000000008</v>
      </c>
      <c r="N19" s="24">
        <v>61693</v>
      </c>
      <c r="O19" s="43">
        <f t="shared" si="1"/>
        <v>116.54325708960994</v>
      </c>
      <c r="P19" s="13">
        <f t="shared" si="1"/>
        <v>100</v>
      </c>
      <c r="Q19" s="13">
        <f t="shared" si="1"/>
        <v>147.57094954491708</v>
      </c>
      <c r="R19" s="13">
        <f t="shared" si="1"/>
        <v>122.63807667316439</v>
      </c>
      <c r="S19" s="13">
        <f t="shared" si="1"/>
        <v>280.44063863803314</v>
      </c>
      <c r="T19" s="13">
        <f t="shared" si="1"/>
        <v>100.5705622483413</v>
      </c>
      <c r="W19" s="8"/>
    </row>
    <row r="20" spans="1:23" s="6" customFormat="1" ht="15.6" x14ac:dyDescent="0.3">
      <c r="A20" s="225">
        <v>10</v>
      </c>
      <c r="B20" s="226" t="s">
        <v>154</v>
      </c>
      <c r="C20" s="12">
        <f t="shared" si="2"/>
        <v>378918</v>
      </c>
      <c r="D20" s="12">
        <v>226668</v>
      </c>
      <c r="E20" s="22">
        <f t="shared" si="3"/>
        <v>152250</v>
      </c>
      <c r="F20" s="22">
        <v>17805</v>
      </c>
      <c r="G20" s="22">
        <v>20982</v>
      </c>
      <c r="H20" s="22">
        <v>113463</v>
      </c>
      <c r="I20" s="22">
        <f t="shared" si="4"/>
        <v>414654.46299999999</v>
      </c>
      <c r="J20" s="24">
        <v>226668</v>
      </c>
      <c r="K20" s="24">
        <f t="shared" si="5"/>
        <v>187986.46299999999</v>
      </c>
      <c r="L20" s="24">
        <v>28969.308000000001</v>
      </c>
      <c r="M20" s="24">
        <v>45554.154999999999</v>
      </c>
      <c r="N20" s="24">
        <v>113463</v>
      </c>
      <c r="O20" s="43">
        <f t="shared" si="1"/>
        <v>109.43118643083729</v>
      </c>
      <c r="P20" s="13">
        <f t="shared" si="1"/>
        <v>100.00000000000001</v>
      </c>
      <c r="Q20" s="13">
        <f t="shared" si="1"/>
        <v>123.47222528735631</v>
      </c>
      <c r="R20" s="13">
        <f t="shared" si="1"/>
        <v>162.70321819713564</v>
      </c>
      <c r="S20" s="13">
        <f t="shared" si="1"/>
        <v>217.11064245543798</v>
      </c>
      <c r="T20" s="13">
        <f t="shared" si="1"/>
        <v>99.999999999999986</v>
      </c>
      <c r="W20" s="8"/>
    </row>
    <row r="21" spans="1:23" s="6" customFormat="1" ht="15.6" x14ac:dyDescent="0.3">
      <c r="A21" s="31"/>
      <c r="B21" s="32"/>
      <c r="C21" s="33"/>
      <c r="D21" s="33"/>
      <c r="E21" s="33"/>
      <c r="F21" s="33"/>
      <c r="G21" s="33"/>
      <c r="H21" s="33"/>
      <c r="I21" s="33"/>
      <c r="J21" s="44"/>
      <c r="K21" s="44"/>
      <c r="L21" s="44"/>
      <c r="M21" s="44"/>
      <c r="N21" s="44"/>
      <c r="O21" s="44"/>
      <c r="P21" s="33"/>
      <c r="Q21" s="33"/>
      <c r="R21" s="33"/>
      <c r="S21" s="33"/>
      <c r="T21" s="33"/>
      <c r="W21" s="8"/>
    </row>
    <row r="22" spans="1:23" s="6" customFormat="1" ht="15.6" x14ac:dyDescent="0.3">
      <c r="A22" s="5"/>
      <c r="C22" s="14"/>
      <c r="D22" s="14"/>
      <c r="E22" s="14"/>
      <c r="F22" s="14"/>
      <c r="G22" s="14"/>
      <c r="H22" s="14"/>
      <c r="I22" s="14"/>
      <c r="J22" s="14"/>
      <c r="K22" s="14"/>
      <c r="L22" s="14"/>
      <c r="M22" s="14"/>
      <c r="N22" s="14"/>
      <c r="O22" s="14"/>
      <c r="P22" s="14"/>
      <c r="Q22" s="14"/>
      <c r="R22" s="14"/>
      <c r="S22" s="14"/>
      <c r="T22" s="14"/>
    </row>
    <row r="23" spans="1:23" x14ac:dyDescent="0.25">
      <c r="I23" s="45"/>
    </row>
    <row r="24" spans="1:23" x14ac:dyDescent="0.25">
      <c r="J24" s="28"/>
    </row>
    <row r="38" spans="4:5" x14ac:dyDescent="0.25">
      <c r="D38" s="274"/>
      <c r="E38" s="274"/>
    </row>
    <row r="39" spans="4:5" x14ac:dyDescent="0.25">
      <c r="D39" s="275"/>
      <c r="E39" s="274"/>
    </row>
    <row r="40" spans="4:5" x14ac:dyDescent="0.25">
      <c r="D40" s="275"/>
      <c r="E40" s="274"/>
    </row>
    <row r="41" spans="4:5" x14ac:dyDescent="0.25">
      <c r="D41" s="275"/>
      <c r="E41" s="274"/>
    </row>
    <row r="42" spans="4:5" x14ac:dyDescent="0.25">
      <c r="D42" s="275"/>
      <c r="E42" s="274"/>
    </row>
    <row r="43" spans="4:5" x14ac:dyDescent="0.25">
      <c r="D43" s="275"/>
      <c r="E43" s="274"/>
    </row>
    <row r="44" spans="4:5" x14ac:dyDescent="0.25">
      <c r="D44" s="275"/>
      <c r="E44" s="274"/>
    </row>
    <row r="45" spans="4:5" x14ac:dyDescent="0.25">
      <c r="D45" s="275"/>
      <c r="E45" s="274"/>
    </row>
    <row r="46" spans="4:5" x14ac:dyDescent="0.25">
      <c r="D46" s="275"/>
      <c r="E46" s="274"/>
    </row>
    <row r="47" spans="4:5" x14ac:dyDescent="0.25">
      <c r="D47" s="275"/>
      <c r="E47" s="274"/>
    </row>
    <row r="48" spans="4:5" x14ac:dyDescent="0.25">
      <c r="D48" s="275"/>
      <c r="E48" s="274"/>
    </row>
    <row r="49" spans="4:5" x14ac:dyDescent="0.25">
      <c r="D49" s="274"/>
      <c r="E49" s="274"/>
    </row>
    <row r="50" spans="4:5" x14ac:dyDescent="0.25">
      <c r="D50" s="274"/>
      <c r="E50" s="274"/>
    </row>
    <row r="51" spans="4:5" x14ac:dyDescent="0.25">
      <c r="D51" s="274"/>
      <c r="E51" s="274"/>
    </row>
  </sheetData>
  <mergeCells count="16">
    <mergeCell ref="K7:N7"/>
    <mergeCell ref="O7:O8"/>
    <mergeCell ref="P7:P8"/>
    <mergeCell ref="Q7:T7"/>
    <mergeCell ref="A3:T3"/>
    <mergeCell ref="A4:T4"/>
    <mergeCell ref="A6:A8"/>
    <mergeCell ref="B6:B8"/>
    <mergeCell ref="C6:H6"/>
    <mergeCell ref="I6:N6"/>
    <mergeCell ref="O6:T6"/>
    <mergeCell ref="C7:C8"/>
    <mergeCell ref="D7:D8"/>
    <mergeCell ref="E7:H7"/>
    <mergeCell ref="I7:I8"/>
    <mergeCell ref="J7:J8"/>
  </mergeCells>
  <printOptions horizontalCentered="1"/>
  <pageMargins left="0" right="0" top="0.74803149606299213" bottom="0.23622047244094491"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45"/>
  <sheetViews>
    <sheetView showZeros="0" zoomScale="90" zoomScaleNormal="90" workbookViewId="0">
      <pane xSplit="2" ySplit="10" topLeftCell="C11" activePane="bottomRight" state="frozen"/>
      <selection pane="topRight" activeCell="C1" sqref="C1"/>
      <selection pane="bottomLeft" activeCell="A11" sqref="A11"/>
      <selection pane="bottomRight" activeCell="T13" sqref="T13"/>
    </sheetView>
  </sheetViews>
  <sheetFormatPr defaultColWidth="9.109375" defaultRowHeight="13.8" outlineLevelCol="1" x14ac:dyDescent="0.25"/>
  <cols>
    <col min="1" max="1" width="5.5546875" style="227" customWidth="1"/>
    <col min="2" max="2" width="25" style="227" customWidth="1"/>
    <col min="3" max="3" width="12.44140625" style="175" customWidth="1"/>
    <col min="4" max="4" width="9.109375" style="175" customWidth="1"/>
    <col min="5" max="5" width="8.44140625" style="175" customWidth="1"/>
    <col min="6" max="7" width="9.109375" style="175" hidden="1" customWidth="1" outlineLevel="1"/>
    <col min="8" max="8" width="8.88671875" style="175" hidden="1" customWidth="1" outlineLevel="1"/>
    <col min="9" max="12" width="9.109375" style="175" hidden="1" customWidth="1" outlineLevel="1"/>
    <col min="13" max="13" width="11.88671875" style="175" hidden="1" customWidth="1" outlineLevel="1"/>
    <col min="14" max="14" width="10.44140625" style="175" hidden="1" customWidth="1" outlineLevel="1"/>
    <col min="15" max="16" width="9.109375" style="175" hidden="1" customWidth="1" outlineLevel="1"/>
    <col min="17" max="17" width="10.44140625" style="175" hidden="1" customWidth="1" outlineLevel="1"/>
    <col min="18" max="19" width="9.109375" style="175" hidden="1" customWidth="1" outlineLevel="1"/>
    <col min="20" max="20" width="11" style="227" customWidth="1" collapsed="1"/>
    <col min="21" max="36" width="9.109375" style="227" customWidth="1"/>
    <col min="37" max="37" width="9.109375" style="227"/>
    <col min="38" max="39" width="9.109375" style="227" customWidth="1"/>
    <col min="40" max="53" width="9.109375" style="227" hidden="1" customWidth="1" outlineLevel="1"/>
    <col min="54" max="54" width="9.109375" style="227" collapsed="1"/>
    <col min="55" max="256" width="9.109375" style="227"/>
    <col min="257" max="257" width="5.5546875" style="227" customWidth="1"/>
    <col min="258" max="258" width="25" style="227" customWidth="1"/>
    <col min="259" max="259" width="12.44140625" style="227" customWidth="1"/>
    <col min="260" max="260" width="9.109375" style="227" customWidth="1"/>
    <col min="261" max="261" width="8.44140625" style="227" customWidth="1"/>
    <col min="262" max="263" width="9.109375" style="227" customWidth="1"/>
    <col min="264" max="264" width="8.88671875" style="227" customWidth="1"/>
    <col min="265" max="268" width="9.109375" style="227" customWidth="1"/>
    <col min="269" max="269" width="11.88671875" style="227" customWidth="1"/>
    <col min="270" max="270" width="10.44140625" style="227" customWidth="1"/>
    <col min="271" max="272" width="9.109375" style="227" customWidth="1"/>
    <col min="273" max="273" width="10.44140625" style="227" customWidth="1"/>
    <col min="274" max="275" width="9.109375" style="227" customWidth="1"/>
    <col min="276" max="276" width="11" style="227" customWidth="1"/>
    <col min="277" max="292" width="9.109375" style="227" customWidth="1"/>
    <col min="293" max="293" width="9.109375" style="227"/>
    <col min="294" max="309" width="9.109375" style="227" customWidth="1"/>
    <col min="310" max="512" width="9.109375" style="227"/>
    <col min="513" max="513" width="5.5546875" style="227" customWidth="1"/>
    <col min="514" max="514" width="25" style="227" customWidth="1"/>
    <col min="515" max="515" width="12.44140625" style="227" customWidth="1"/>
    <col min="516" max="516" width="9.109375" style="227" customWidth="1"/>
    <col min="517" max="517" width="8.44140625" style="227" customWidth="1"/>
    <col min="518" max="519" width="9.109375" style="227" customWidth="1"/>
    <col min="520" max="520" width="8.88671875" style="227" customWidth="1"/>
    <col min="521" max="524" width="9.109375" style="227" customWidth="1"/>
    <col min="525" max="525" width="11.88671875" style="227" customWidth="1"/>
    <col min="526" max="526" width="10.44140625" style="227" customWidth="1"/>
    <col min="527" max="528" width="9.109375" style="227" customWidth="1"/>
    <col min="529" max="529" width="10.44140625" style="227" customWidth="1"/>
    <col min="530" max="531" width="9.109375" style="227" customWidth="1"/>
    <col min="532" max="532" width="11" style="227" customWidth="1"/>
    <col min="533" max="548" width="9.109375" style="227" customWidth="1"/>
    <col min="549" max="549" width="9.109375" style="227"/>
    <col min="550" max="565" width="9.109375" style="227" customWidth="1"/>
    <col min="566" max="768" width="9.109375" style="227"/>
    <col min="769" max="769" width="5.5546875" style="227" customWidth="1"/>
    <col min="770" max="770" width="25" style="227" customWidth="1"/>
    <col min="771" max="771" width="12.44140625" style="227" customWidth="1"/>
    <col min="772" max="772" width="9.109375" style="227" customWidth="1"/>
    <col min="773" max="773" width="8.44140625" style="227" customWidth="1"/>
    <col min="774" max="775" width="9.109375" style="227" customWidth="1"/>
    <col min="776" max="776" width="8.88671875" style="227" customWidth="1"/>
    <col min="777" max="780" width="9.109375" style="227" customWidth="1"/>
    <col min="781" max="781" width="11.88671875" style="227" customWidth="1"/>
    <col min="782" max="782" width="10.44140625" style="227" customWidth="1"/>
    <col min="783" max="784" width="9.109375" style="227" customWidth="1"/>
    <col min="785" max="785" width="10.44140625" style="227" customWidth="1"/>
    <col min="786" max="787" width="9.109375" style="227" customWidth="1"/>
    <col min="788" max="788" width="11" style="227" customWidth="1"/>
    <col min="789" max="804" width="9.109375" style="227" customWidth="1"/>
    <col min="805" max="805" width="9.109375" style="227"/>
    <col min="806" max="821" width="9.109375" style="227" customWidth="1"/>
    <col min="822" max="1024" width="9.109375" style="227"/>
    <col min="1025" max="1025" width="5.5546875" style="227" customWidth="1"/>
    <col min="1026" max="1026" width="25" style="227" customWidth="1"/>
    <col min="1027" max="1027" width="12.44140625" style="227" customWidth="1"/>
    <col min="1028" max="1028" width="9.109375" style="227" customWidth="1"/>
    <col min="1029" max="1029" width="8.44140625" style="227" customWidth="1"/>
    <col min="1030" max="1031" width="9.109375" style="227" customWidth="1"/>
    <col min="1032" max="1032" width="8.88671875" style="227" customWidth="1"/>
    <col min="1033" max="1036" width="9.109375" style="227" customWidth="1"/>
    <col min="1037" max="1037" width="11.88671875" style="227" customWidth="1"/>
    <col min="1038" max="1038" width="10.44140625" style="227" customWidth="1"/>
    <col min="1039" max="1040" width="9.109375" style="227" customWidth="1"/>
    <col min="1041" max="1041" width="10.44140625" style="227" customWidth="1"/>
    <col min="1042" max="1043" width="9.109375" style="227" customWidth="1"/>
    <col min="1044" max="1044" width="11" style="227" customWidth="1"/>
    <col min="1045" max="1060" width="9.109375" style="227" customWidth="1"/>
    <col min="1061" max="1061" width="9.109375" style="227"/>
    <col min="1062" max="1077" width="9.109375" style="227" customWidth="1"/>
    <col min="1078" max="1280" width="9.109375" style="227"/>
    <col min="1281" max="1281" width="5.5546875" style="227" customWidth="1"/>
    <col min="1282" max="1282" width="25" style="227" customWidth="1"/>
    <col min="1283" max="1283" width="12.44140625" style="227" customWidth="1"/>
    <col min="1284" max="1284" width="9.109375" style="227" customWidth="1"/>
    <col min="1285" max="1285" width="8.44140625" style="227" customWidth="1"/>
    <col min="1286" max="1287" width="9.109375" style="227" customWidth="1"/>
    <col min="1288" max="1288" width="8.88671875" style="227" customWidth="1"/>
    <col min="1289" max="1292" width="9.109375" style="227" customWidth="1"/>
    <col min="1293" max="1293" width="11.88671875" style="227" customWidth="1"/>
    <col min="1294" max="1294" width="10.44140625" style="227" customWidth="1"/>
    <col min="1295" max="1296" width="9.109375" style="227" customWidth="1"/>
    <col min="1297" max="1297" width="10.44140625" style="227" customWidth="1"/>
    <col min="1298" max="1299" width="9.109375" style="227" customWidth="1"/>
    <col min="1300" max="1300" width="11" style="227" customWidth="1"/>
    <col min="1301" max="1316" width="9.109375" style="227" customWidth="1"/>
    <col min="1317" max="1317" width="9.109375" style="227"/>
    <col min="1318" max="1333" width="9.109375" style="227" customWidth="1"/>
    <col min="1334" max="1536" width="9.109375" style="227"/>
    <col min="1537" max="1537" width="5.5546875" style="227" customWidth="1"/>
    <col min="1538" max="1538" width="25" style="227" customWidth="1"/>
    <col min="1539" max="1539" width="12.44140625" style="227" customWidth="1"/>
    <col min="1540" max="1540" width="9.109375" style="227" customWidth="1"/>
    <col min="1541" max="1541" width="8.44140625" style="227" customWidth="1"/>
    <col min="1542" max="1543" width="9.109375" style="227" customWidth="1"/>
    <col min="1544" max="1544" width="8.88671875" style="227" customWidth="1"/>
    <col min="1545" max="1548" width="9.109375" style="227" customWidth="1"/>
    <col min="1549" max="1549" width="11.88671875" style="227" customWidth="1"/>
    <col min="1550" max="1550" width="10.44140625" style="227" customWidth="1"/>
    <col min="1551" max="1552" width="9.109375" style="227" customWidth="1"/>
    <col min="1553" max="1553" width="10.44140625" style="227" customWidth="1"/>
    <col min="1554" max="1555" width="9.109375" style="227" customWidth="1"/>
    <col min="1556" max="1556" width="11" style="227" customWidth="1"/>
    <col min="1557" max="1572" width="9.109375" style="227" customWidth="1"/>
    <col min="1573" max="1573" width="9.109375" style="227"/>
    <col min="1574" max="1589" width="9.109375" style="227" customWidth="1"/>
    <col min="1590" max="1792" width="9.109375" style="227"/>
    <col min="1793" max="1793" width="5.5546875" style="227" customWidth="1"/>
    <col min="1794" max="1794" width="25" style="227" customWidth="1"/>
    <col min="1795" max="1795" width="12.44140625" style="227" customWidth="1"/>
    <col min="1796" max="1796" width="9.109375" style="227" customWidth="1"/>
    <col min="1797" max="1797" width="8.44140625" style="227" customWidth="1"/>
    <col min="1798" max="1799" width="9.109375" style="227" customWidth="1"/>
    <col min="1800" max="1800" width="8.88671875" style="227" customWidth="1"/>
    <col min="1801" max="1804" width="9.109375" style="227" customWidth="1"/>
    <col min="1805" max="1805" width="11.88671875" style="227" customWidth="1"/>
    <col min="1806" max="1806" width="10.44140625" style="227" customWidth="1"/>
    <col min="1807" max="1808" width="9.109375" style="227" customWidth="1"/>
    <col min="1809" max="1809" width="10.44140625" style="227" customWidth="1"/>
    <col min="1810" max="1811" width="9.109375" style="227" customWidth="1"/>
    <col min="1812" max="1812" width="11" style="227" customWidth="1"/>
    <col min="1813" max="1828" width="9.109375" style="227" customWidth="1"/>
    <col min="1829" max="1829" width="9.109375" style="227"/>
    <col min="1830" max="1845" width="9.109375" style="227" customWidth="1"/>
    <col min="1846" max="2048" width="9.109375" style="227"/>
    <col min="2049" max="2049" width="5.5546875" style="227" customWidth="1"/>
    <col min="2050" max="2050" width="25" style="227" customWidth="1"/>
    <col min="2051" max="2051" width="12.44140625" style="227" customWidth="1"/>
    <col min="2052" max="2052" width="9.109375" style="227" customWidth="1"/>
    <col min="2053" max="2053" width="8.44140625" style="227" customWidth="1"/>
    <col min="2054" max="2055" width="9.109375" style="227" customWidth="1"/>
    <col min="2056" max="2056" width="8.88671875" style="227" customWidth="1"/>
    <col min="2057" max="2060" width="9.109375" style="227" customWidth="1"/>
    <col min="2061" max="2061" width="11.88671875" style="227" customWidth="1"/>
    <col min="2062" max="2062" width="10.44140625" style="227" customWidth="1"/>
    <col min="2063" max="2064" width="9.109375" style="227" customWidth="1"/>
    <col min="2065" max="2065" width="10.44140625" style="227" customWidth="1"/>
    <col min="2066" max="2067" width="9.109375" style="227" customWidth="1"/>
    <col min="2068" max="2068" width="11" style="227" customWidth="1"/>
    <col min="2069" max="2084" width="9.109375" style="227" customWidth="1"/>
    <col min="2085" max="2085" width="9.109375" style="227"/>
    <col min="2086" max="2101" width="9.109375" style="227" customWidth="1"/>
    <col min="2102" max="2304" width="9.109375" style="227"/>
    <col min="2305" max="2305" width="5.5546875" style="227" customWidth="1"/>
    <col min="2306" max="2306" width="25" style="227" customWidth="1"/>
    <col min="2307" max="2307" width="12.44140625" style="227" customWidth="1"/>
    <col min="2308" max="2308" width="9.109375" style="227" customWidth="1"/>
    <col min="2309" max="2309" width="8.44140625" style="227" customWidth="1"/>
    <col min="2310" max="2311" width="9.109375" style="227" customWidth="1"/>
    <col min="2312" max="2312" width="8.88671875" style="227" customWidth="1"/>
    <col min="2313" max="2316" width="9.109375" style="227" customWidth="1"/>
    <col min="2317" max="2317" width="11.88671875" style="227" customWidth="1"/>
    <col min="2318" max="2318" width="10.44140625" style="227" customWidth="1"/>
    <col min="2319" max="2320" width="9.109375" style="227" customWidth="1"/>
    <col min="2321" max="2321" width="10.44140625" style="227" customWidth="1"/>
    <col min="2322" max="2323" width="9.109375" style="227" customWidth="1"/>
    <col min="2324" max="2324" width="11" style="227" customWidth="1"/>
    <col min="2325" max="2340" width="9.109375" style="227" customWidth="1"/>
    <col min="2341" max="2341" width="9.109375" style="227"/>
    <col min="2342" max="2357" width="9.109375" style="227" customWidth="1"/>
    <col min="2358" max="2560" width="9.109375" style="227"/>
    <col min="2561" max="2561" width="5.5546875" style="227" customWidth="1"/>
    <col min="2562" max="2562" width="25" style="227" customWidth="1"/>
    <col min="2563" max="2563" width="12.44140625" style="227" customWidth="1"/>
    <col min="2564" max="2564" width="9.109375" style="227" customWidth="1"/>
    <col min="2565" max="2565" width="8.44140625" style="227" customWidth="1"/>
    <col min="2566" max="2567" width="9.109375" style="227" customWidth="1"/>
    <col min="2568" max="2568" width="8.88671875" style="227" customWidth="1"/>
    <col min="2569" max="2572" width="9.109375" style="227" customWidth="1"/>
    <col min="2573" max="2573" width="11.88671875" style="227" customWidth="1"/>
    <col min="2574" max="2574" width="10.44140625" style="227" customWidth="1"/>
    <col min="2575" max="2576" width="9.109375" style="227" customWidth="1"/>
    <col min="2577" max="2577" width="10.44140625" style="227" customWidth="1"/>
    <col min="2578" max="2579" width="9.109375" style="227" customWidth="1"/>
    <col min="2580" max="2580" width="11" style="227" customWidth="1"/>
    <col min="2581" max="2596" width="9.109375" style="227" customWidth="1"/>
    <col min="2597" max="2597" width="9.109375" style="227"/>
    <col min="2598" max="2613" width="9.109375" style="227" customWidth="1"/>
    <col min="2614" max="2816" width="9.109375" style="227"/>
    <col min="2817" max="2817" width="5.5546875" style="227" customWidth="1"/>
    <col min="2818" max="2818" width="25" style="227" customWidth="1"/>
    <col min="2819" max="2819" width="12.44140625" style="227" customWidth="1"/>
    <col min="2820" max="2820" width="9.109375" style="227" customWidth="1"/>
    <col min="2821" max="2821" width="8.44140625" style="227" customWidth="1"/>
    <col min="2822" max="2823" width="9.109375" style="227" customWidth="1"/>
    <col min="2824" max="2824" width="8.88671875" style="227" customWidth="1"/>
    <col min="2825" max="2828" width="9.109375" style="227" customWidth="1"/>
    <col min="2829" max="2829" width="11.88671875" style="227" customWidth="1"/>
    <col min="2830" max="2830" width="10.44140625" style="227" customWidth="1"/>
    <col min="2831" max="2832" width="9.109375" style="227" customWidth="1"/>
    <col min="2833" max="2833" width="10.44140625" style="227" customWidth="1"/>
    <col min="2834" max="2835" width="9.109375" style="227" customWidth="1"/>
    <col min="2836" max="2836" width="11" style="227" customWidth="1"/>
    <col min="2837" max="2852" width="9.109375" style="227" customWidth="1"/>
    <col min="2853" max="2853" width="9.109375" style="227"/>
    <col min="2854" max="2869" width="9.109375" style="227" customWidth="1"/>
    <col min="2870" max="3072" width="9.109375" style="227"/>
    <col min="3073" max="3073" width="5.5546875" style="227" customWidth="1"/>
    <col min="3074" max="3074" width="25" style="227" customWidth="1"/>
    <col min="3075" max="3075" width="12.44140625" style="227" customWidth="1"/>
    <col min="3076" max="3076" width="9.109375" style="227" customWidth="1"/>
    <col min="3077" max="3077" width="8.44140625" style="227" customWidth="1"/>
    <col min="3078" max="3079" width="9.109375" style="227" customWidth="1"/>
    <col min="3080" max="3080" width="8.88671875" style="227" customWidth="1"/>
    <col min="3081" max="3084" width="9.109375" style="227" customWidth="1"/>
    <col min="3085" max="3085" width="11.88671875" style="227" customWidth="1"/>
    <col min="3086" max="3086" width="10.44140625" style="227" customWidth="1"/>
    <col min="3087" max="3088" width="9.109375" style="227" customWidth="1"/>
    <col min="3089" max="3089" width="10.44140625" style="227" customWidth="1"/>
    <col min="3090" max="3091" width="9.109375" style="227" customWidth="1"/>
    <col min="3092" max="3092" width="11" style="227" customWidth="1"/>
    <col min="3093" max="3108" width="9.109375" style="227" customWidth="1"/>
    <col min="3109" max="3109" width="9.109375" style="227"/>
    <col min="3110" max="3125" width="9.109375" style="227" customWidth="1"/>
    <col min="3126" max="3328" width="9.109375" style="227"/>
    <col min="3329" max="3329" width="5.5546875" style="227" customWidth="1"/>
    <col min="3330" max="3330" width="25" style="227" customWidth="1"/>
    <col min="3331" max="3331" width="12.44140625" style="227" customWidth="1"/>
    <col min="3332" max="3332" width="9.109375" style="227" customWidth="1"/>
    <col min="3333" max="3333" width="8.44140625" style="227" customWidth="1"/>
    <col min="3334" max="3335" width="9.109375" style="227" customWidth="1"/>
    <col min="3336" max="3336" width="8.88671875" style="227" customWidth="1"/>
    <col min="3337" max="3340" width="9.109375" style="227" customWidth="1"/>
    <col min="3341" max="3341" width="11.88671875" style="227" customWidth="1"/>
    <col min="3342" max="3342" width="10.44140625" style="227" customWidth="1"/>
    <col min="3343" max="3344" width="9.109375" style="227" customWidth="1"/>
    <col min="3345" max="3345" width="10.44140625" style="227" customWidth="1"/>
    <col min="3346" max="3347" width="9.109375" style="227" customWidth="1"/>
    <col min="3348" max="3348" width="11" style="227" customWidth="1"/>
    <col min="3349" max="3364" width="9.109375" style="227" customWidth="1"/>
    <col min="3365" max="3365" width="9.109375" style="227"/>
    <col min="3366" max="3381" width="9.109375" style="227" customWidth="1"/>
    <col min="3382" max="3584" width="9.109375" style="227"/>
    <col min="3585" max="3585" width="5.5546875" style="227" customWidth="1"/>
    <col min="3586" max="3586" width="25" style="227" customWidth="1"/>
    <col min="3587" max="3587" width="12.44140625" style="227" customWidth="1"/>
    <col min="3588" max="3588" width="9.109375" style="227" customWidth="1"/>
    <col min="3589" max="3589" width="8.44140625" style="227" customWidth="1"/>
    <col min="3590" max="3591" width="9.109375" style="227" customWidth="1"/>
    <col min="3592" max="3592" width="8.88671875" style="227" customWidth="1"/>
    <col min="3593" max="3596" width="9.109375" style="227" customWidth="1"/>
    <col min="3597" max="3597" width="11.88671875" style="227" customWidth="1"/>
    <col min="3598" max="3598" width="10.44140625" style="227" customWidth="1"/>
    <col min="3599" max="3600" width="9.109375" style="227" customWidth="1"/>
    <col min="3601" max="3601" width="10.44140625" style="227" customWidth="1"/>
    <col min="3602" max="3603" width="9.109375" style="227" customWidth="1"/>
    <col min="3604" max="3604" width="11" style="227" customWidth="1"/>
    <col min="3605" max="3620" width="9.109375" style="227" customWidth="1"/>
    <col min="3621" max="3621" width="9.109375" style="227"/>
    <col min="3622" max="3637" width="9.109375" style="227" customWidth="1"/>
    <col min="3638" max="3840" width="9.109375" style="227"/>
    <col min="3841" max="3841" width="5.5546875" style="227" customWidth="1"/>
    <col min="3842" max="3842" width="25" style="227" customWidth="1"/>
    <col min="3843" max="3843" width="12.44140625" style="227" customWidth="1"/>
    <col min="3844" max="3844" width="9.109375" style="227" customWidth="1"/>
    <col min="3845" max="3845" width="8.44140625" style="227" customWidth="1"/>
    <col min="3846" max="3847" width="9.109375" style="227" customWidth="1"/>
    <col min="3848" max="3848" width="8.88671875" style="227" customWidth="1"/>
    <col min="3849" max="3852" width="9.109375" style="227" customWidth="1"/>
    <col min="3853" max="3853" width="11.88671875" style="227" customWidth="1"/>
    <col min="3854" max="3854" width="10.44140625" style="227" customWidth="1"/>
    <col min="3855" max="3856" width="9.109375" style="227" customWidth="1"/>
    <col min="3857" max="3857" width="10.44140625" style="227" customWidth="1"/>
    <col min="3858" max="3859" width="9.109375" style="227" customWidth="1"/>
    <col min="3860" max="3860" width="11" style="227" customWidth="1"/>
    <col min="3861" max="3876" width="9.109375" style="227" customWidth="1"/>
    <col min="3877" max="3877" width="9.109375" style="227"/>
    <col min="3878" max="3893" width="9.109375" style="227" customWidth="1"/>
    <col min="3894" max="4096" width="9.109375" style="227"/>
    <col min="4097" max="4097" width="5.5546875" style="227" customWidth="1"/>
    <col min="4098" max="4098" width="25" style="227" customWidth="1"/>
    <col min="4099" max="4099" width="12.44140625" style="227" customWidth="1"/>
    <col min="4100" max="4100" width="9.109375" style="227" customWidth="1"/>
    <col min="4101" max="4101" width="8.44140625" style="227" customWidth="1"/>
    <col min="4102" max="4103" width="9.109375" style="227" customWidth="1"/>
    <col min="4104" max="4104" width="8.88671875" style="227" customWidth="1"/>
    <col min="4105" max="4108" width="9.109375" style="227" customWidth="1"/>
    <col min="4109" max="4109" width="11.88671875" style="227" customWidth="1"/>
    <col min="4110" max="4110" width="10.44140625" style="227" customWidth="1"/>
    <col min="4111" max="4112" width="9.109375" style="227" customWidth="1"/>
    <col min="4113" max="4113" width="10.44140625" style="227" customWidth="1"/>
    <col min="4114" max="4115" width="9.109375" style="227" customWidth="1"/>
    <col min="4116" max="4116" width="11" style="227" customWidth="1"/>
    <col min="4117" max="4132" width="9.109375" style="227" customWidth="1"/>
    <col min="4133" max="4133" width="9.109375" style="227"/>
    <col min="4134" max="4149" width="9.109375" style="227" customWidth="1"/>
    <col min="4150" max="4352" width="9.109375" style="227"/>
    <col min="4353" max="4353" width="5.5546875" style="227" customWidth="1"/>
    <col min="4354" max="4354" width="25" style="227" customWidth="1"/>
    <col min="4355" max="4355" width="12.44140625" style="227" customWidth="1"/>
    <col min="4356" max="4356" width="9.109375" style="227" customWidth="1"/>
    <col min="4357" max="4357" width="8.44140625" style="227" customWidth="1"/>
    <col min="4358" max="4359" width="9.109375" style="227" customWidth="1"/>
    <col min="4360" max="4360" width="8.88671875" style="227" customWidth="1"/>
    <col min="4361" max="4364" width="9.109375" style="227" customWidth="1"/>
    <col min="4365" max="4365" width="11.88671875" style="227" customWidth="1"/>
    <col min="4366" max="4366" width="10.44140625" style="227" customWidth="1"/>
    <col min="4367" max="4368" width="9.109375" style="227" customWidth="1"/>
    <col min="4369" max="4369" width="10.44140625" style="227" customWidth="1"/>
    <col min="4370" max="4371" width="9.109375" style="227" customWidth="1"/>
    <col min="4372" max="4372" width="11" style="227" customWidth="1"/>
    <col min="4373" max="4388" width="9.109375" style="227" customWidth="1"/>
    <col min="4389" max="4389" width="9.109375" style="227"/>
    <col min="4390" max="4405" width="9.109375" style="227" customWidth="1"/>
    <col min="4406" max="4608" width="9.109375" style="227"/>
    <col min="4609" max="4609" width="5.5546875" style="227" customWidth="1"/>
    <col min="4610" max="4610" width="25" style="227" customWidth="1"/>
    <col min="4611" max="4611" width="12.44140625" style="227" customWidth="1"/>
    <col min="4612" max="4612" width="9.109375" style="227" customWidth="1"/>
    <col min="4613" max="4613" width="8.44140625" style="227" customWidth="1"/>
    <col min="4614" max="4615" width="9.109375" style="227" customWidth="1"/>
    <col min="4616" max="4616" width="8.88671875" style="227" customWidth="1"/>
    <col min="4617" max="4620" width="9.109375" style="227" customWidth="1"/>
    <col min="4621" max="4621" width="11.88671875" style="227" customWidth="1"/>
    <col min="4622" max="4622" width="10.44140625" style="227" customWidth="1"/>
    <col min="4623" max="4624" width="9.109375" style="227" customWidth="1"/>
    <col min="4625" max="4625" width="10.44140625" style="227" customWidth="1"/>
    <col min="4626" max="4627" width="9.109375" style="227" customWidth="1"/>
    <col min="4628" max="4628" width="11" style="227" customWidth="1"/>
    <col min="4629" max="4644" width="9.109375" style="227" customWidth="1"/>
    <col min="4645" max="4645" width="9.109375" style="227"/>
    <col min="4646" max="4661" width="9.109375" style="227" customWidth="1"/>
    <col min="4662" max="4864" width="9.109375" style="227"/>
    <col min="4865" max="4865" width="5.5546875" style="227" customWidth="1"/>
    <col min="4866" max="4866" width="25" style="227" customWidth="1"/>
    <col min="4867" max="4867" width="12.44140625" style="227" customWidth="1"/>
    <col min="4868" max="4868" width="9.109375" style="227" customWidth="1"/>
    <col min="4869" max="4869" width="8.44140625" style="227" customWidth="1"/>
    <col min="4870" max="4871" width="9.109375" style="227" customWidth="1"/>
    <col min="4872" max="4872" width="8.88671875" style="227" customWidth="1"/>
    <col min="4873" max="4876" width="9.109375" style="227" customWidth="1"/>
    <col min="4877" max="4877" width="11.88671875" style="227" customWidth="1"/>
    <col min="4878" max="4878" width="10.44140625" style="227" customWidth="1"/>
    <col min="4879" max="4880" width="9.109375" style="227" customWidth="1"/>
    <col min="4881" max="4881" width="10.44140625" style="227" customWidth="1"/>
    <col min="4882" max="4883" width="9.109375" style="227" customWidth="1"/>
    <col min="4884" max="4884" width="11" style="227" customWidth="1"/>
    <col min="4885" max="4900" width="9.109375" style="227" customWidth="1"/>
    <col min="4901" max="4901" width="9.109375" style="227"/>
    <col min="4902" max="4917" width="9.109375" style="227" customWidth="1"/>
    <col min="4918" max="5120" width="9.109375" style="227"/>
    <col min="5121" max="5121" width="5.5546875" style="227" customWidth="1"/>
    <col min="5122" max="5122" width="25" style="227" customWidth="1"/>
    <col min="5123" max="5123" width="12.44140625" style="227" customWidth="1"/>
    <col min="5124" max="5124" width="9.109375" style="227" customWidth="1"/>
    <col min="5125" max="5125" width="8.44140625" style="227" customWidth="1"/>
    <col min="5126" max="5127" width="9.109375" style="227" customWidth="1"/>
    <col min="5128" max="5128" width="8.88671875" style="227" customWidth="1"/>
    <col min="5129" max="5132" width="9.109375" style="227" customWidth="1"/>
    <col min="5133" max="5133" width="11.88671875" style="227" customWidth="1"/>
    <col min="5134" max="5134" width="10.44140625" style="227" customWidth="1"/>
    <col min="5135" max="5136" width="9.109375" style="227" customWidth="1"/>
    <col min="5137" max="5137" width="10.44140625" style="227" customWidth="1"/>
    <col min="5138" max="5139" width="9.109375" style="227" customWidth="1"/>
    <col min="5140" max="5140" width="11" style="227" customWidth="1"/>
    <col min="5141" max="5156" width="9.109375" style="227" customWidth="1"/>
    <col min="5157" max="5157" width="9.109375" style="227"/>
    <col min="5158" max="5173" width="9.109375" style="227" customWidth="1"/>
    <col min="5174" max="5376" width="9.109375" style="227"/>
    <col min="5377" max="5377" width="5.5546875" style="227" customWidth="1"/>
    <col min="5378" max="5378" width="25" style="227" customWidth="1"/>
    <col min="5379" max="5379" width="12.44140625" style="227" customWidth="1"/>
    <col min="5380" max="5380" width="9.109375" style="227" customWidth="1"/>
    <col min="5381" max="5381" width="8.44140625" style="227" customWidth="1"/>
    <col min="5382" max="5383" width="9.109375" style="227" customWidth="1"/>
    <col min="5384" max="5384" width="8.88671875" style="227" customWidth="1"/>
    <col min="5385" max="5388" width="9.109375" style="227" customWidth="1"/>
    <col min="5389" max="5389" width="11.88671875" style="227" customWidth="1"/>
    <col min="5390" max="5390" width="10.44140625" style="227" customWidth="1"/>
    <col min="5391" max="5392" width="9.109375" style="227" customWidth="1"/>
    <col min="5393" max="5393" width="10.44140625" style="227" customWidth="1"/>
    <col min="5394" max="5395" width="9.109375" style="227" customWidth="1"/>
    <col min="5396" max="5396" width="11" style="227" customWidth="1"/>
    <col min="5397" max="5412" width="9.109375" style="227" customWidth="1"/>
    <col min="5413" max="5413" width="9.109375" style="227"/>
    <col min="5414" max="5429" width="9.109375" style="227" customWidth="1"/>
    <col min="5430" max="5632" width="9.109375" style="227"/>
    <col min="5633" max="5633" width="5.5546875" style="227" customWidth="1"/>
    <col min="5634" max="5634" width="25" style="227" customWidth="1"/>
    <col min="5635" max="5635" width="12.44140625" style="227" customWidth="1"/>
    <col min="5636" max="5636" width="9.109375" style="227" customWidth="1"/>
    <col min="5637" max="5637" width="8.44140625" style="227" customWidth="1"/>
    <col min="5638" max="5639" width="9.109375" style="227" customWidth="1"/>
    <col min="5640" max="5640" width="8.88671875" style="227" customWidth="1"/>
    <col min="5641" max="5644" width="9.109375" style="227" customWidth="1"/>
    <col min="5645" max="5645" width="11.88671875" style="227" customWidth="1"/>
    <col min="5646" max="5646" width="10.44140625" style="227" customWidth="1"/>
    <col min="5647" max="5648" width="9.109375" style="227" customWidth="1"/>
    <col min="5649" max="5649" width="10.44140625" style="227" customWidth="1"/>
    <col min="5650" max="5651" width="9.109375" style="227" customWidth="1"/>
    <col min="5652" max="5652" width="11" style="227" customWidth="1"/>
    <col min="5653" max="5668" width="9.109375" style="227" customWidth="1"/>
    <col min="5669" max="5669" width="9.109375" style="227"/>
    <col min="5670" max="5685" width="9.109375" style="227" customWidth="1"/>
    <col min="5686" max="5888" width="9.109375" style="227"/>
    <col min="5889" max="5889" width="5.5546875" style="227" customWidth="1"/>
    <col min="5890" max="5890" width="25" style="227" customWidth="1"/>
    <col min="5891" max="5891" width="12.44140625" style="227" customWidth="1"/>
    <col min="5892" max="5892" width="9.109375" style="227" customWidth="1"/>
    <col min="5893" max="5893" width="8.44140625" style="227" customWidth="1"/>
    <col min="5894" max="5895" width="9.109375" style="227" customWidth="1"/>
    <col min="5896" max="5896" width="8.88671875" style="227" customWidth="1"/>
    <col min="5897" max="5900" width="9.109375" style="227" customWidth="1"/>
    <col min="5901" max="5901" width="11.88671875" style="227" customWidth="1"/>
    <col min="5902" max="5902" width="10.44140625" style="227" customWidth="1"/>
    <col min="5903" max="5904" width="9.109375" style="227" customWidth="1"/>
    <col min="5905" max="5905" width="10.44140625" style="227" customWidth="1"/>
    <col min="5906" max="5907" width="9.109375" style="227" customWidth="1"/>
    <col min="5908" max="5908" width="11" style="227" customWidth="1"/>
    <col min="5909" max="5924" width="9.109375" style="227" customWidth="1"/>
    <col min="5925" max="5925" width="9.109375" style="227"/>
    <col min="5926" max="5941" width="9.109375" style="227" customWidth="1"/>
    <col min="5942" max="6144" width="9.109375" style="227"/>
    <col min="6145" max="6145" width="5.5546875" style="227" customWidth="1"/>
    <col min="6146" max="6146" width="25" style="227" customWidth="1"/>
    <col min="6147" max="6147" width="12.44140625" style="227" customWidth="1"/>
    <col min="6148" max="6148" width="9.109375" style="227" customWidth="1"/>
    <col min="6149" max="6149" width="8.44140625" style="227" customWidth="1"/>
    <col min="6150" max="6151" width="9.109375" style="227" customWidth="1"/>
    <col min="6152" max="6152" width="8.88671875" style="227" customWidth="1"/>
    <col min="6153" max="6156" width="9.109375" style="227" customWidth="1"/>
    <col min="6157" max="6157" width="11.88671875" style="227" customWidth="1"/>
    <col min="6158" max="6158" width="10.44140625" style="227" customWidth="1"/>
    <col min="6159" max="6160" width="9.109375" style="227" customWidth="1"/>
    <col min="6161" max="6161" width="10.44140625" style="227" customWidth="1"/>
    <col min="6162" max="6163" width="9.109375" style="227" customWidth="1"/>
    <col min="6164" max="6164" width="11" style="227" customWidth="1"/>
    <col min="6165" max="6180" width="9.109375" style="227" customWidth="1"/>
    <col min="6181" max="6181" width="9.109375" style="227"/>
    <col min="6182" max="6197" width="9.109375" style="227" customWidth="1"/>
    <col min="6198" max="6400" width="9.109375" style="227"/>
    <col min="6401" max="6401" width="5.5546875" style="227" customWidth="1"/>
    <col min="6402" max="6402" width="25" style="227" customWidth="1"/>
    <col min="6403" max="6403" width="12.44140625" style="227" customWidth="1"/>
    <col min="6404" max="6404" width="9.109375" style="227" customWidth="1"/>
    <col min="6405" max="6405" width="8.44140625" style="227" customWidth="1"/>
    <col min="6406" max="6407" width="9.109375" style="227" customWidth="1"/>
    <col min="6408" max="6408" width="8.88671875" style="227" customWidth="1"/>
    <col min="6409" max="6412" width="9.109375" style="227" customWidth="1"/>
    <col min="6413" max="6413" width="11.88671875" style="227" customWidth="1"/>
    <col min="6414" max="6414" width="10.44140625" style="227" customWidth="1"/>
    <col min="6415" max="6416" width="9.109375" style="227" customWidth="1"/>
    <col min="6417" max="6417" width="10.44140625" style="227" customWidth="1"/>
    <col min="6418" max="6419" width="9.109375" style="227" customWidth="1"/>
    <col min="6420" max="6420" width="11" style="227" customWidth="1"/>
    <col min="6421" max="6436" width="9.109375" style="227" customWidth="1"/>
    <col min="6437" max="6437" width="9.109375" style="227"/>
    <col min="6438" max="6453" width="9.109375" style="227" customWidth="1"/>
    <col min="6454" max="6656" width="9.109375" style="227"/>
    <col min="6657" max="6657" width="5.5546875" style="227" customWidth="1"/>
    <col min="6658" max="6658" width="25" style="227" customWidth="1"/>
    <col min="6659" max="6659" width="12.44140625" style="227" customWidth="1"/>
    <col min="6660" max="6660" width="9.109375" style="227" customWidth="1"/>
    <col min="6661" max="6661" width="8.44140625" style="227" customWidth="1"/>
    <col min="6662" max="6663" width="9.109375" style="227" customWidth="1"/>
    <col min="6664" max="6664" width="8.88671875" style="227" customWidth="1"/>
    <col min="6665" max="6668" width="9.109375" style="227" customWidth="1"/>
    <col min="6669" max="6669" width="11.88671875" style="227" customWidth="1"/>
    <col min="6670" max="6670" width="10.44140625" style="227" customWidth="1"/>
    <col min="6671" max="6672" width="9.109375" style="227" customWidth="1"/>
    <col min="6673" max="6673" width="10.44140625" style="227" customWidth="1"/>
    <col min="6674" max="6675" width="9.109375" style="227" customWidth="1"/>
    <col min="6676" max="6676" width="11" style="227" customWidth="1"/>
    <col min="6677" max="6692" width="9.109375" style="227" customWidth="1"/>
    <col min="6693" max="6693" width="9.109375" style="227"/>
    <col min="6694" max="6709" width="9.109375" style="227" customWidth="1"/>
    <col min="6710" max="6912" width="9.109375" style="227"/>
    <col min="6913" max="6913" width="5.5546875" style="227" customWidth="1"/>
    <col min="6914" max="6914" width="25" style="227" customWidth="1"/>
    <col min="6915" max="6915" width="12.44140625" style="227" customWidth="1"/>
    <col min="6916" max="6916" width="9.109375" style="227" customWidth="1"/>
    <col min="6917" max="6917" width="8.44140625" style="227" customWidth="1"/>
    <col min="6918" max="6919" width="9.109375" style="227" customWidth="1"/>
    <col min="6920" max="6920" width="8.88671875" style="227" customWidth="1"/>
    <col min="6921" max="6924" width="9.109375" style="227" customWidth="1"/>
    <col min="6925" max="6925" width="11.88671875" style="227" customWidth="1"/>
    <col min="6926" max="6926" width="10.44140625" style="227" customWidth="1"/>
    <col min="6927" max="6928" width="9.109375" style="227" customWidth="1"/>
    <col min="6929" max="6929" width="10.44140625" style="227" customWidth="1"/>
    <col min="6930" max="6931" width="9.109375" style="227" customWidth="1"/>
    <col min="6932" max="6932" width="11" style="227" customWidth="1"/>
    <col min="6933" max="6948" width="9.109375" style="227" customWidth="1"/>
    <col min="6949" max="6949" width="9.109375" style="227"/>
    <col min="6950" max="6965" width="9.109375" style="227" customWidth="1"/>
    <col min="6966" max="7168" width="9.109375" style="227"/>
    <col min="7169" max="7169" width="5.5546875" style="227" customWidth="1"/>
    <col min="7170" max="7170" width="25" style="227" customWidth="1"/>
    <col min="7171" max="7171" width="12.44140625" style="227" customWidth="1"/>
    <col min="7172" max="7172" width="9.109375" style="227" customWidth="1"/>
    <col min="7173" max="7173" width="8.44140625" style="227" customWidth="1"/>
    <col min="7174" max="7175" width="9.109375" style="227" customWidth="1"/>
    <col min="7176" max="7176" width="8.88671875" style="227" customWidth="1"/>
    <col min="7177" max="7180" width="9.109375" style="227" customWidth="1"/>
    <col min="7181" max="7181" width="11.88671875" style="227" customWidth="1"/>
    <col min="7182" max="7182" width="10.44140625" style="227" customWidth="1"/>
    <col min="7183" max="7184" width="9.109375" style="227" customWidth="1"/>
    <col min="7185" max="7185" width="10.44140625" style="227" customWidth="1"/>
    <col min="7186" max="7187" width="9.109375" style="227" customWidth="1"/>
    <col min="7188" max="7188" width="11" style="227" customWidth="1"/>
    <col min="7189" max="7204" width="9.109375" style="227" customWidth="1"/>
    <col min="7205" max="7205" width="9.109375" style="227"/>
    <col min="7206" max="7221" width="9.109375" style="227" customWidth="1"/>
    <col min="7222" max="7424" width="9.109375" style="227"/>
    <col min="7425" max="7425" width="5.5546875" style="227" customWidth="1"/>
    <col min="7426" max="7426" width="25" style="227" customWidth="1"/>
    <col min="7427" max="7427" width="12.44140625" style="227" customWidth="1"/>
    <col min="7428" max="7428" width="9.109375" style="227" customWidth="1"/>
    <col min="7429" max="7429" width="8.44140625" style="227" customWidth="1"/>
    <col min="7430" max="7431" width="9.109375" style="227" customWidth="1"/>
    <col min="7432" max="7432" width="8.88671875" style="227" customWidth="1"/>
    <col min="7433" max="7436" width="9.109375" style="227" customWidth="1"/>
    <col min="7437" max="7437" width="11.88671875" style="227" customWidth="1"/>
    <col min="7438" max="7438" width="10.44140625" style="227" customWidth="1"/>
    <col min="7439" max="7440" width="9.109375" style="227" customWidth="1"/>
    <col min="7441" max="7441" width="10.44140625" style="227" customWidth="1"/>
    <col min="7442" max="7443" width="9.109375" style="227" customWidth="1"/>
    <col min="7444" max="7444" width="11" style="227" customWidth="1"/>
    <col min="7445" max="7460" width="9.109375" style="227" customWidth="1"/>
    <col min="7461" max="7461" width="9.109375" style="227"/>
    <col min="7462" max="7477" width="9.109375" style="227" customWidth="1"/>
    <col min="7478" max="7680" width="9.109375" style="227"/>
    <col min="7681" max="7681" width="5.5546875" style="227" customWidth="1"/>
    <col min="7682" max="7682" width="25" style="227" customWidth="1"/>
    <col min="7683" max="7683" width="12.44140625" style="227" customWidth="1"/>
    <col min="7684" max="7684" width="9.109375" style="227" customWidth="1"/>
    <col min="7685" max="7685" width="8.44140625" style="227" customWidth="1"/>
    <col min="7686" max="7687" width="9.109375" style="227" customWidth="1"/>
    <col min="7688" max="7688" width="8.88671875" style="227" customWidth="1"/>
    <col min="7689" max="7692" width="9.109375" style="227" customWidth="1"/>
    <col min="7693" max="7693" width="11.88671875" style="227" customWidth="1"/>
    <col min="7694" max="7694" width="10.44140625" style="227" customWidth="1"/>
    <col min="7695" max="7696" width="9.109375" style="227" customWidth="1"/>
    <col min="7697" max="7697" width="10.44140625" style="227" customWidth="1"/>
    <col min="7698" max="7699" width="9.109375" style="227" customWidth="1"/>
    <col min="7700" max="7700" width="11" style="227" customWidth="1"/>
    <col min="7701" max="7716" width="9.109375" style="227" customWidth="1"/>
    <col min="7717" max="7717" width="9.109375" style="227"/>
    <col min="7718" max="7733" width="9.109375" style="227" customWidth="1"/>
    <col min="7734" max="7936" width="9.109375" style="227"/>
    <col min="7937" max="7937" width="5.5546875" style="227" customWidth="1"/>
    <col min="7938" max="7938" width="25" style="227" customWidth="1"/>
    <col min="7939" max="7939" width="12.44140625" style="227" customWidth="1"/>
    <col min="7940" max="7940" width="9.109375" style="227" customWidth="1"/>
    <col min="7941" max="7941" width="8.44140625" style="227" customWidth="1"/>
    <col min="7942" max="7943" width="9.109375" style="227" customWidth="1"/>
    <col min="7944" max="7944" width="8.88671875" style="227" customWidth="1"/>
    <col min="7945" max="7948" width="9.109375" style="227" customWidth="1"/>
    <col min="7949" max="7949" width="11.88671875" style="227" customWidth="1"/>
    <col min="7950" max="7950" width="10.44140625" style="227" customWidth="1"/>
    <col min="7951" max="7952" width="9.109375" style="227" customWidth="1"/>
    <col min="7953" max="7953" width="10.44140625" style="227" customWidth="1"/>
    <col min="7954" max="7955" width="9.109375" style="227" customWidth="1"/>
    <col min="7956" max="7956" width="11" style="227" customWidth="1"/>
    <col min="7957" max="7972" width="9.109375" style="227" customWidth="1"/>
    <col min="7973" max="7973" width="9.109375" style="227"/>
    <col min="7974" max="7989" width="9.109375" style="227" customWidth="1"/>
    <col min="7990" max="8192" width="9.109375" style="227"/>
    <col min="8193" max="8193" width="5.5546875" style="227" customWidth="1"/>
    <col min="8194" max="8194" width="25" style="227" customWidth="1"/>
    <col min="8195" max="8195" width="12.44140625" style="227" customWidth="1"/>
    <col min="8196" max="8196" width="9.109375" style="227" customWidth="1"/>
    <col min="8197" max="8197" width="8.44140625" style="227" customWidth="1"/>
    <col min="8198" max="8199" width="9.109375" style="227" customWidth="1"/>
    <col min="8200" max="8200" width="8.88671875" style="227" customWidth="1"/>
    <col min="8201" max="8204" width="9.109375" style="227" customWidth="1"/>
    <col min="8205" max="8205" width="11.88671875" style="227" customWidth="1"/>
    <col min="8206" max="8206" width="10.44140625" style="227" customWidth="1"/>
    <col min="8207" max="8208" width="9.109375" style="227" customWidth="1"/>
    <col min="8209" max="8209" width="10.44140625" style="227" customWidth="1"/>
    <col min="8210" max="8211" width="9.109375" style="227" customWidth="1"/>
    <col min="8212" max="8212" width="11" style="227" customWidth="1"/>
    <col min="8213" max="8228" width="9.109375" style="227" customWidth="1"/>
    <col min="8229" max="8229" width="9.109375" style="227"/>
    <col min="8230" max="8245" width="9.109375" style="227" customWidth="1"/>
    <col min="8246" max="8448" width="9.109375" style="227"/>
    <col min="8449" max="8449" width="5.5546875" style="227" customWidth="1"/>
    <col min="8450" max="8450" width="25" style="227" customWidth="1"/>
    <col min="8451" max="8451" width="12.44140625" style="227" customWidth="1"/>
    <col min="8452" max="8452" width="9.109375" style="227" customWidth="1"/>
    <col min="8453" max="8453" width="8.44140625" style="227" customWidth="1"/>
    <col min="8454" max="8455" width="9.109375" style="227" customWidth="1"/>
    <col min="8456" max="8456" width="8.88671875" style="227" customWidth="1"/>
    <col min="8457" max="8460" width="9.109375" style="227" customWidth="1"/>
    <col min="8461" max="8461" width="11.88671875" style="227" customWidth="1"/>
    <col min="8462" max="8462" width="10.44140625" style="227" customWidth="1"/>
    <col min="8463" max="8464" width="9.109375" style="227" customWidth="1"/>
    <col min="8465" max="8465" width="10.44140625" style="227" customWidth="1"/>
    <col min="8466" max="8467" width="9.109375" style="227" customWidth="1"/>
    <col min="8468" max="8468" width="11" style="227" customWidth="1"/>
    <col min="8469" max="8484" width="9.109375" style="227" customWidth="1"/>
    <col min="8485" max="8485" width="9.109375" style="227"/>
    <col min="8486" max="8501" width="9.109375" style="227" customWidth="1"/>
    <col min="8502" max="8704" width="9.109375" style="227"/>
    <col min="8705" max="8705" width="5.5546875" style="227" customWidth="1"/>
    <col min="8706" max="8706" width="25" style="227" customWidth="1"/>
    <col min="8707" max="8707" width="12.44140625" style="227" customWidth="1"/>
    <col min="8708" max="8708" width="9.109375" style="227" customWidth="1"/>
    <col min="8709" max="8709" width="8.44140625" style="227" customWidth="1"/>
    <col min="8710" max="8711" width="9.109375" style="227" customWidth="1"/>
    <col min="8712" max="8712" width="8.88671875" style="227" customWidth="1"/>
    <col min="8713" max="8716" width="9.109375" style="227" customWidth="1"/>
    <col min="8717" max="8717" width="11.88671875" style="227" customWidth="1"/>
    <col min="8718" max="8718" width="10.44140625" style="227" customWidth="1"/>
    <col min="8719" max="8720" width="9.109375" style="227" customWidth="1"/>
    <col min="8721" max="8721" width="10.44140625" style="227" customWidth="1"/>
    <col min="8722" max="8723" width="9.109375" style="227" customWidth="1"/>
    <col min="8724" max="8724" width="11" style="227" customWidth="1"/>
    <col min="8725" max="8740" width="9.109375" style="227" customWidth="1"/>
    <col min="8741" max="8741" width="9.109375" style="227"/>
    <col min="8742" max="8757" width="9.109375" style="227" customWidth="1"/>
    <col min="8758" max="8960" width="9.109375" style="227"/>
    <col min="8961" max="8961" width="5.5546875" style="227" customWidth="1"/>
    <col min="8962" max="8962" width="25" style="227" customWidth="1"/>
    <col min="8963" max="8963" width="12.44140625" style="227" customWidth="1"/>
    <col min="8964" max="8964" width="9.109375" style="227" customWidth="1"/>
    <col min="8965" max="8965" width="8.44140625" style="227" customWidth="1"/>
    <col min="8966" max="8967" width="9.109375" style="227" customWidth="1"/>
    <col min="8968" max="8968" width="8.88671875" style="227" customWidth="1"/>
    <col min="8969" max="8972" width="9.109375" style="227" customWidth="1"/>
    <col min="8973" max="8973" width="11.88671875" style="227" customWidth="1"/>
    <col min="8974" max="8974" width="10.44140625" style="227" customWidth="1"/>
    <col min="8975" max="8976" width="9.109375" style="227" customWidth="1"/>
    <col min="8977" max="8977" width="10.44140625" style="227" customWidth="1"/>
    <col min="8978" max="8979" width="9.109375" style="227" customWidth="1"/>
    <col min="8980" max="8980" width="11" style="227" customWidth="1"/>
    <col min="8981" max="8996" width="9.109375" style="227" customWidth="1"/>
    <col min="8997" max="8997" width="9.109375" style="227"/>
    <col min="8998" max="9013" width="9.109375" style="227" customWidth="1"/>
    <col min="9014" max="9216" width="9.109375" style="227"/>
    <col min="9217" max="9217" width="5.5546875" style="227" customWidth="1"/>
    <col min="9218" max="9218" width="25" style="227" customWidth="1"/>
    <col min="9219" max="9219" width="12.44140625" style="227" customWidth="1"/>
    <col min="9220" max="9220" width="9.109375" style="227" customWidth="1"/>
    <col min="9221" max="9221" width="8.44140625" style="227" customWidth="1"/>
    <col min="9222" max="9223" width="9.109375" style="227" customWidth="1"/>
    <col min="9224" max="9224" width="8.88671875" style="227" customWidth="1"/>
    <col min="9225" max="9228" width="9.109375" style="227" customWidth="1"/>
    <col min="9229" max="9229" width="11.88671875" style="227" customWidth="1"/>
    <col min="9230" max="9230" width="10.44140625" style="227" customWidth="1"/>
    <col min="9231" max="9232" width="9.109375" style="227" customWidth="1"/>
    <col min="9233" max="9233" width="10.44140625" style="227" customWidth="1"/>
    <col min="9234" max="9235" width="9.109375" style="227" customWidth="1"/>
    <col min="9236" max="9236" width="11" style="227" customWidth="1"/>
    <col min="9237" max="9252" width="9.109375" style="227" customWidth="1"/>
    <col min="9253" max="9253" width="9.109375" style="227"/>
    <col min="9254" max="9269" width="9.109375" style="227" customWidth="1"/>
    <col min="9270" max="9472" width="9.109375" style="227"/>
    <col min="9473" max="9473" width="5.5546875" style="227" customWidth="1"/>
    <col min="9474" max="9474" width="25" style="227" customWidth="1"/>
    <col min="9475" max="9475" width="12.44140625" style="227" customWidth="1"/>
    <col min="9476" max="9476" width="9.109375" style="227" customWidth="1"/>
    <col min="9477" max="9477" width="8.44140625" style="227" customWidth="1"/>
    <col min="9478" max="9479" width="9.109375" style="227" customWidth="1"/>
    <col min="9480" max="9480" width="8.88671875" style="227" customWidth="1"/>
    <col min="9481" max="9484" width="9.109375" style="227" customWidth="1"/>
    <col min="9485" max="9485" width="11.88671875" style="227" customWidth="1"/>
    <col min="9486" max="9486" width="10.44140625" style="227" customWidth="1"/>
    <col min="9487" max="9488" width="9.109375" style="227" customWidth="1"/>
    <col min="9489" max="9489" width="10.44140625" style="227" customWidth="1"/>
    <col min="9490" max="9491" width="9.109375" style="227" customWidth="1"/>
    <col min="9492" max="9492" width="11" style="227" customWidth="1"/>
    <col min="9493" max="9508" width="9.109375" style="227" customWidth="1"/>
    <col min="9509" max="9509" width="9.109375" style="227"/>
    <col min="9510" max="9525" width="9.109375" style="227" customWidth="1"/>
    <col min="9526" max="9728" width="9.109375" style="227"/>
    <col min="9729" max="9729" width="5.5546875" style="227" customWidth="1"/>
    <col min="9730" max="9730" width="25" style="227" customWidth="1"/>
    <col min="9731" max="9731" width="12.44140625" style="227" customWidth="1"/>
    <col min="9732" max="9732" width="9.109375" style="227" customWidth="1"/>
    <col min="9733" max="9733" width="8.44140625" style="227" customWidth="1"/>
    <col min="9734" max="9735" width="9.109375" style="227" customWidth="1"/>
    <col min="9736" max="9736" width="8.88671875" style="227" customWidth="1"/>
    <col min="9737" max="9740" width="9.109375" style="227" customWidth="1"/>
    <col min="9741" max="9741" width="11.88671875" style="227" customWidth="1"/>
    <col min="9742" max="9742" width="10.44140625" style="227" customWidth="1"/>
    <col min="9743" max="9744" width="9.109375" style="227" customWidth="1"/>
    <col min="9745" max="9745" width="10.44140625" style="227" customWidth="1"/>
    <col min="9746" max="9747" width="9.109375" style="227" customWidth="1"/>
    <col min="9748" max="9748" width="11" style="227" customWidth="1"/>
    <col min="9749" max="9764" width="9.109375" style="227" customWidth="1"/>
    <col min="9765" max="9765" width="9.109375" style="227"/>
    <col min="9766" max="9781" width="9.109375" style="227" customWidth="1"/>
    <col min="9782" max="9984" width="9.109375" style="227"/>
    <col min="9985" max="9985" width="5.5546875" style="227" customWidth="1"/>
    <col min="9986" max="9986" width="25" style="227" customWidth="1"/>
    <col min="9987" max="9987" width="12.44140625" style="227" customWidth="1"/>
    <col min="9988" max="9988" width="9.109375" style="227" customWidth="1"/>
    <col min="9989" max="9989" width="8.44140625" style="227" customWidth="1"/>
    <col min="9990" max="9991" width="9.109375" style="227" customWidth="1"/>
    <col min="9992" max="9992" width="8.88671875" style="227" customWidth="1"/>
    <col min="9993" max="9996" width="9.109375" style="227" customWidth="1"/>
    <col min="9997" max="9997" width="11.88671875" style="227" customWidth="1"/>
    <col min="9998" max="9998" width="10.44140625" style="227" customWidth="1"/>
    <col min="9999" max="10000" width="9.109375" style="227" customWidth="1"/>
    <col min="10001" max="10001" width="10.44140625" style="227" customWidth="1"/>
    <col min="10002" max="10003" width="9.109375" style="227" customWidth="1"/>
    <col min="10004" max="10004" width="11" style="227" customWidth="1"/>
    <col min="10005" max="10020" width="9.109375" style="227" customWidth="1"/>
    <col min="10021" max="10021" width="9.109375" style="227"/>
    <col min="10022" max="10037" width="9.109375" style="227" customWidth="1"/>
    <col min="10038" max="10240" width="9.109375" style="227"/>
    <col min="10241" max="10241" width="5.5546875" style="227" customWidth="1"/>
    <col min="10242" max="10242" width="25" style="227" customWidth="1"/>
    <col min="10243" max="10243" width="12.44140625" style="227" customWidth="1"/>
    <col min="10244" max="10244" width="9.109375" style="227" customWidth="1"/>
    <col min="10245" max="10245" width="8.44140625" style="227" customWidth="1"/>
    <col min="10246" max="10247" width="9.109375" style="227" customWidth="1"/>
    <col min="10248" max="10248" width="8.88671875" style="227" customWidth="1"/>
    <col min="10249" max="10252" width="9.109375" style="227" customWidth="1"/>
    <col min="10253" max="10253" width="11.88671875" style="227" customWidth="1"/>
    <col min="10254" max="10254" width="10.44140625" style="227" customWidth="1"/>
    <col min="10255" max="10256" width="9.109375" style="227" customWidth="1"/>
    <col min="10257" max="10257" width="10.44140625" style="227" customWidth="1"/>
    <col min="10258" max="10259" width="9.109375" style="227" customWidth="1"/>
    <col min="10260" max="10260" width="11" style="227" customWidth="1"/>
    <col min="10261" max="10276" width="9.109375" style="227" customWidth="1"/>
    <col min="10277" max="10277" width="9.109375" style="227"/>
    <col min="10278" max="10293" width="9.109375" style="227" customWidth="1"/>
    <col min="10294" max="10496" width="9.109375" style="227"/>
    <col min="10497" max="10497" width="5.5546875" style="227" customWidth="1"/>
    <col min="10498" max="10498" width="25" style="227" customWidth="1"/>
    <col min="10499" max="10499" width="12.44140625" style="227" customWidth="1"/>
    <col min="10500" max="10500" width="9.109375" style="227" customWidth="1"/>
    <col min="10501" max="10501" width="8.44140625" style="227" customWidth="1"/>
    <col min="10502" max="10503" width="9.109375" style="227" customWidth="1"/>
    <col min="10504" max="10504" width="8.88671875" style="227" customWidth="1"/>
    <col min="10505" max="10508" width="9.109375" style="227" customWidth="1"/>
    <col min="10509" max="10509" width="11.88671875" style="227" customWidth="1"/>
    <col min="10510" max="10510" width="10.44140625" style="227" customWidth="1"/>
    <col min="10511" max="10512" width="9.109375" style="227" customWidth="1"/>
    <col min="10513" max="10513" width="10.44140625" style="227" customWidth="1"/>
    <col min="10514" max="10515" width="9.109375" style="227" customWidth="1"/>
    <col min="10516" max="10516" width="11" style="227" customWidth="1"/>
    <col min="10517" max="10532" width="9.109375" style="227" customWidth="1"/>
    <col min="10533" max="10533" width="9.109375" style="227"/>
    <col min="10534" max="10549" width="9.109375" style="227" customWidth="1"/>
    <col min="10550" max="10752" width="9.109375" style="227"/>
    <col min="10753" max="10753" width="5.5546875" style="227" customWidth="1"/>
    <col min="10754" max="10754" width="25" style="227" customWidth="1"/>
    <col min="10755" max="10755" width="12.44140625" style="227" customWidth="1"/>
    <col min="10756" max="10756" width="9.109375" style="227" customWidth="1"/>
    <col min="10757" max="10757" width="8.44140625" style="227" customWidth="1"/>
    <col min="10758" max="10759" width="9.109375" style="227" customWidth="1"/>
    <col min="10760" max="10760" width="8.88671875" style="227" customWidth="1"/>
    <col min="10761" max="10764" width="9.109375" style="227" customWidth="1"/>
    <col min="10765" max="10765" width="11.88671875" style="227" customWidth="1"/>
    <col min="10766" max="10766" width="10.44140625" style="227" customWidth="1"/>
    <col min="10767" max="10768" width="9.109375" style="227" customWidth="1"/>
    <col min="10769" max="10769" width="10.44140625" style="227" customWidth="1"/>
    <col min="10770" max="10771" width="9.109375" style="227" customWidth="1"/>
    <col min="10772" max="10772" width="11" style="227" customWidth="1"/>
    <col min="10773" max="10788" width="9.109375" style="227" customWidth="1"/>
    <col min="10789" max="10789" width="9.109375" style="227"/>
    <col min="10790" max="10805" width="9.109375" style="227" customWidth="1"/>
    <col min="10806" max="11008" width="9.109375" style="227"/>
    <col min="11009" max="11009" width="5.5546875" style="227" customWidth="1"/>
    <col min="11010" max="11010" width="25" style="227" customWidth="1"/>
    <col min="11011" max="11011" width="12.44140625" style="227" customWidth="1"/>
    <col min="11012" max="11012" width="9.109375" style="227" customWidth="1"/>
    <col min="11013" max="11013" width="8.44140625" style="227" customWidth="1"/>
    <col min="11014" max="11015" width="9.109375" style="227" customWidth="1"/>
    <col min="11016" max="11016" width="8.88671875" style="227" customWidth="1"/>
    <col min="11017" max="11020" width="9.109375" style="227" customWidth="1"/>
    <col min="11021" max="11021" width="11.88671875" style="227" customWidth="1"/>
    <col min="11022" max="11022" width="10.44140625" style="227" customWidth="1"/>
    <col min="11023" max="11024" width="9.109375" style="227" customWidth="1"/>
    <col min="11025" max="11025" width="10.44140625" style="227" customWidth="1"/>
    <col min="11026" max="11027" width="9.109375" style="227" customWidth="1"/>
    <col min="11028" max="11028" width="11" style="227" customWidth="1"/>
    <col min="11029" max="11044" width="9.109375" style="227" customWidth="1"/>
    <col min="11045" max="11045" width="9.109375" style="227"/>
    <col min="11046" max="11061" width="9.109375" style="227" customWidth="1"/>
    <col min="11062" max="11264" width="9.109375" style="227"/>
    <col min="11265" max="11265" width="5.5546875" style="227" customWidth="1"/>
    <col min="11266" max="11266" width="25" style="227" customWidth="1"/>
    <col min="11267" max="11267" width="12.44140625" style="227" customWidth="1"/>
    <col min="11268" max="11268" width="9.109375" style="227" customWidth="1"/>
    <col min="11269" max="11269" width="8.44140625" style="227" customWidth="1"/>
    <col min="11270" max="11271" width="9.109375" style="227" customWidth="1"/>
    <col min="11272" max="11272" width="8.88671875" style="227" customWidth="1"/>
    <col min="11273" max="11276" width="9.109375" style="227" customWidth="1"/>
    <col min="11277" max="11277" width="11.88671875" style="227" customWidth="1"/>
    <col min="11278" max="11278" width="10.44140625" style="227" customWidth="1"/>
    <col min="11279" max="11280" width="9.109375" style="227" customWidth="1"/>
    <col min="11281" max="11281" width="10.44140625" style="227" customWidth="1"/>
    <col min="11282" max="11283" width="9.109375" style="227" customWidth="1"/>
    <col min="11284" max="11284" width="11" style="227" customWidth="1"/>
    <col min="11285" max="11300" width="9.109375" style="227" customWidth="1"/>
    <col min="11301" max="11301" width="9.109375" style="227"/>
    <col min="11302" max="11317" width="9.109375" style="227" customWidth="1"/>
    <col min="11318" max="11520" width="9.109375" style="227"/>
    <col min="11521" max="11521" width="5.5546875" style="227" customWidth="1"/>
    <col min="11522" max="11522" width="25" style="227" customWidth="1"/>
    <col min="11523" max="11523" width="12.44140625" style="227" customWidth="1"/>
    <col min="11524" max="11524" width="9.109375" style="227" customWidth="1"/>
    <col min="11525" max="11525" width="8.44140625" style="227" customWidth="1"/>
    <col min="11526" max="11527" width="9.109375" style="227" customWidth="1"/>
    <col min="11528" max="11528" width="8.88671875" style="227" customWidth="1"/>
    <col min="11529" max="11532" width="9.109375" style="227" customWidth="1"/>
    <col min="11533" max="11533" width="11.88671875" style="227" customWidth="1"/>
    <col min="11534" max="11534" width="10.44140625" style="227" customWidth="1"/>
    <col min="11535" max="11536" width="9.109375" style="227" customWidth="1"/>
    <col min="11537" max="11537" width="10.44140625" style="227" customWidth="1"/>
    <col min="11538" max="11539" width="9.109375" style="227" customWidth="1"/>
    <col min="11540" max="11540" width="11" style="227" customWidth="1"/>
    <col min="11541" max="11556" width="9.109375" style="227" customWidth="1"/>
    <col min="11557" max="11557" width="9.109375" style="227"/>
    <col min="11558" max="11573" width="9.109375" style="227" customWidth="1"/>
    <col min="11574" max="11776" width="9.109375" style="227"/>
    <col min="11777" max="11777" width="5.5546875" style="227" customWidth="1"/>
    <col min="11778" max="11778" width="25" style="227" customWidth="1"/>
    <col min="11779" max="11779" width="12.44140625" style="227" customWidth="1"/>
    <col min="11780" max="11780" width="9.109375" style="227" customWidth="1"/>
    <col min="11781" max="11781" width="8.44140625" style="227" customWidth="1"/>
    <col min="11782" max="11783" width="9.109375" style="227" customWidth="1"/>
    <col min="11784" max="11784" width="8.88671875" style="227" customWidth="1"/>
    <col min="11785" max="11788" width="9.109375" style="227" customWidth="1"/>
    <col min="11789" max="11789" width="11.88671875" style="227" customWidth="1"/>
    <col min="11790" max="11790" width="10.44140625" style="227" customWidth="1"/>
    <col min="11791" max="11792" width="9.109375" style="227" customWidth="1"/>
    <col min="11793" max="11793" width="10.44140625" style="227" customWidth="1"/>
    <col min="11794" max="11795" width="9.109375" style="227" customWidth="1"/>
    <col min="11796" max="11796" width="11" style="227" customWidth="1"/>
    <col min="11797" max="11812" width="9.109375" style="227" customWidth="1"/>
    <col min="11813" max="11813" width="9.109375" style="227"/>
    <col min="11814" max="11829" width="9.109375" style="227" customWidth="1"/>
    <col min="11830" max="12032" width="9.109375" style="227"/>
    <col min="12033" max="12033" width="5.5546875" style="227" customWidth="1"/>
    <col min="12034" max="12034" width="25" style="227" customWidth="1"/>
    <col min="12035" max="12035" width="12.44140625" style="227" customWidth="1"/>
    <col min="12036" max="12036" width="9.109375" style="227" customWidth="1"/>
    <col min="12037" max="12037" width="8.44140625" style="227" customWidth="1"/>
    <col min="12038" max="12039" width="9.109375" style="227" customWidth="1"/>
    <col min="12040" max="12040" width="8.88671875" style="227" customWidth="1"/>
    <col min="12041" max="12044" width="9.109375" style="227" customWidth="1"/>
    <col min="12045" max="12045" width="11.88671875" style="227" customWidth="1"/>
    <col min="12046" max="12046" width="10.44140625" style="227" customWidth="1"/>
    <col min="12047" max="12048" width="9.109375" style="227" customWidth="1"/>
    <col min="12049" max="12049" width="10.44140625" style="227" customWidth="1"/>
    <col min="12050" max="12051" width="9.109375" style="227" customWidth="1"/>
    <col min="12052" max="12052" width="11" style="227" customWidth="1"/>
    <col min="12053" max="12068" width="9.109375" style="227" customWidth="1"/>
    <col min="12069" max="12069" width="9.109375" style="227"/>
    <col min="12070" max="12085" width="9.109375" style="227" customWidth="1"/>
    <col min="12086" max="12288" width="9.109375" style="227"/>
    <col min="12289" max="12289" width="5.5546875" style="227" customWidth="1"/>
    <col min="12290" max="12290" width="25" style="227" customWidth="1"/>
    <col min="12291" max="12291" width="12.44140625" style="227" customWidth="1"/>
    <col min="12292" max="12292" width="9.109375" style="227" customWidth="1"/>
    <col min="12293" max="12293" width="8.44140625" style="227" customWidth="1"/>
    <col min="12294" max="12295" width="9.109375" style="227" customWidth="1"/>
    <col min="12296" max="12296" width="8.88671875" style="227" customWidth="1"/>
    <col min="12297" max="12300" width="9.109375" style="227" customWidth="1"/>
    <col min="12301" max="12301" width="11.88671875" style="227" customWidth="1"/>
    <col min="12302" max="12302" width="10.44140625" style="227" customWidth="1"/>
    <col min="12303" max="12304" width="9.109375" style="227" customWidth="1"/>
    <col min="12305" max="12305" width="10.44140625" style="227" customWidth="1"/>
    <col min="12306" max="12307" width="9.109375" style="227" customWidth="1"/>
    <col min="12308" max="12308" width="11" style="227" customWidth="1"/>
    <col min="12309" max="12324" width="9.109375" style="227" customWidth="1"/>
    <col min="12325" max="12325" width="9.109375" style="227"/>
    <col min="12326" max="12341" width="9.109375" style="227" customWidth="1"/>
    <col min="12342" max="12544" width="9.109375" style="227"/>
    <col min="12545" max="12545" width="5.5546875" style="227" customWidth="1"/>
    <col min="12546" max="12546" width="25" style="227" customWidth="1"/>
    <col min="12547" max="12547" width="12.44140625" style="227" customWidth="1"/>
    <col min="12548" max="12548" width="9.109375" style="227" customWidth="1"/>
    <col min="12549" max="12549" width="8.44140625" style="227" customWidth="1"/>
    <col min="12550" max="12551" width="9.109375" style="227" customWidth="1"/>
    <col min="12552" max="12552" width="8.88671875" style="227" customWidth="1"/>
    <col min="12553" max="12556" width="9.109375" style="227" customWidth="1"/>
    <col min="12557" max="12557" width="11.88671875" style="227" customWidth="1"/>
    <col min="12558" max="12558" width="10.44140625" style="227" customWidth="1"/>
    <col min="12559" max="12560" width="9.109375" style="227" customWidth="1"/>
    <col min="12561" max="12561" width="10.44140625" style="227" customWidth="1"/>
    <col min="12562" max="12563" width="9.109375" style="227" customWidth="1"/>
    <col min="12564" max="12564" width="11" style="227" customWidth="1"/>
    <col min="12565" max="12580" width="9.109375" style="227" customWidth="1"/>
    <col min="12581" max="12581" width="9.109375" style="227"/>
    <col min="12582" max="12597" width="9.109375" style="227" customWidth="1"/>
    <col min="12598" max="12800" width="9.109375" style="227"/>
    <col min="12801" max="12801" width="5.5546875" style="227" customWidth="1"/>
    <col min="12802" max="12802" width="25" style="227" customWidth="1"/>
    <col min="12803" max="12803" width="12.44140625" style="227" customWidth="1"/>
    <col min="12804" max="12804" width="9.109375" style="227" customWidth="1"/>
    <col min="12805" max="12805" width="8.44140625" style="227" customWidth="1"/>
    <col min="12806" max="12807" width="9.109375" style="227" customWidth="1"/>
    <col min="12808" max="12808" width="8.88671875" style="227" customWidth="1"/>
    <col min="12809" max="12812" width="9.109375" style="227" customWidth="1"/>
    <col min="12813" max="12813" width="11.88671875" style="227" customWidth="1"/>
    <col min="12814" max="12814" width="10.44140625" style="227" customWidth="1"/>
    <col min="12815" max="12816" width="9.109375" style="227" customWidth="1"/>
    <col min="12817" max="12817" width="10.44140625" style="227" customWidth="1"/>
    <col min="12818" max="12819" width="9.109375" style="227" customWidth="1"/>
    <col min="12820" max="12820" width="11" style="227" customWidth="1"/>
    <col min="12821" max="12836" width="9.109375" style="227" customWidth="1"/>
    <col min="12837" max="12837" width="9.109375" style="227"/>
    <col min="12838" max="12853" width="9.109375" style="227" customWidth="1"/>
    <col min="12854" max="13056" width="9.109375" style="227"/>
    <col min="13057" max="13057" width="5.5546875" style="227" customWidth="1"/>
    <col min="13058" max="13058" width="25" style="227" customWidth="1"/>
    <col min="13059" max="13059" width="12.44140625" style="227" customWidth="1"/>
    <col min="13060" max="13060" width="9.109375" style="227" customWidth="1"/>
    <col min="13061" max="13061" width="8.44140625" style="227" customWidth="1"/>
    <col min="13062" max="13063" width="9.109375" style="227" customWidth="1"/>
    <col min="13064" max="13064" width="8.88671875" style="227" customWidth="1"/>
    <col min="13065" max="13068" width="9.109375" style="227" customWidth="1"/>
    <col min="13069" max="13069" width="11.88671875" style="227" customWidth="1"/>
    <col min="13070" max="13070" width="10.44140625" style="227" customWidth="1"/>
    <col min="13071" max="13072" width="9.109375" style="227" customWidth="1"/>
    <col min="13073" max="13073" width="10.44140625" style="227" customWidth="1"/>
    <col min="13074" max="13075" width="9.109375" style="227" customWidth="1"/>
    <col min="13076" max="13076" width="11" style="227" customWidth="1"/>
    <col min="13077" max="13092" width="9.109375" style="227" customWidth="1"/>
    <col min="13093" max="13093" width="9.109375" style="227"/>
    <col min="13094" max="13109" width="9.109375" style="227" customWidth="1"/>
    <col min="13110" max="13312" width="9.109375" style="227"/>
    <col min="13313" max="13313" width="5.5546875" style="227" customWidth="1"/>
    <col min="13314" max="13314" width="25" style="227" customWidth="1"/>
    <col min="13315" max="13315" width="12.44140625" style="227" customWidth="1"/>
    <col min="13316" max="13316" width="9.109375" style="227" customWidth="1"/>
    <col min="13317" max="13317" width="8.44140625" style="227" customWidth="1"/>
    <col min="13318" max="13319" width="9.109375" style="227" customWidth="1"/>
    <col min="13320" max="13320" width="8.88671875" style="227" customWidth="1"/>
    <col min="13321" max="13324" width="9.109375" style="227" customWidth="1"/>
    <col min="13325" max="13325" width="11.88671875" style="227" customWidth="1"/>
    <col min="13326" max="13326" width="10.44140625" style="227" customWidth="1"/>
    <col min="13327" max="13328" width="9.109375" style="227" customWidth="1"/>
    <col min="13329" max="13329" width="10.44140625" style="227" customWidth="1"/>
    <col min="13330" max="13331" width="9.109375" style="227" customWidth="1"/>
    <col min="13332" max="13332" width="11" style="227" customWidth="1"/>
    <col min="13333" max="13348" width="9.109375" style="227" customWidth="1"/>
    <col min="13349" max="13349" width="9.109375" style="227"/>
    <col min="13350" max="13365" width="9.109375" style="227" customWidth="1"/>
    <col min="13366" max="13568" width="9.109375" style="227"/>
    <col min="13569" max="13569" width="5.5546875" style="227" customWidth="1"/>
    <col min="13570" max="13570" width="25" style="227" customWidth="1"/>
    <col min="13571" max="13571" width="12.44140625" style="227" customWidth="1"/>
    <col min="13572" max="13572" width="9.109375" style="227" customWidth="1"/>
    <col min="13573" max="13573" width="8.44140625" style="227" customWidth="1"/>
    <col min="13574" max="13575" width="9.109375" style="227" customWidth="1"/>
    <col min="13576" max="13576" width="8.88671875" style="227" customWidth="1"/>
    <col min="13577" max="13580" width="9.109375" style="227" customWidth="1"/>
    <col min="13581" max="13581" width="11.88671875" style="227" customWidth="1"/>
    <col min="13582" max="13582" width="10.44140625" style="227" customWidth="1"/>
    <col min="13583" max="13584" width="9.109375" style="227" customWidth="1"/>
    <col min="13585" max="13585" width="10.44140625" style="227" customWidth="1"/>
    <col min="13586" max="13587" width="9.109375" style="227" customWidth="1"/>
    <col min="13588" max="13588" width="11" style="227" customWidth="1"/>
    <col min="13589" max="13604" width="9.109375" style="227" customWidth="1"/>
    <col min="13605" max="13605" width="9.109375" style="227"/>
    <col min="13606" max="13621" width="9.109375" style="227" customWidth="1"/>
    <col min="13622" max="13824" width="9.109375" style="227"/>
    <col min="13825" max="13825" width="5.5546875" style="227" customWidth="1"/>
    <col min="13826" max="13826" width="25" style="227" customWidth="1"/>
    <col min="13827" max="13827" width="12.44140625" style="227" customWidth="1"/>
    <col min="13828" max="13828" width="9.109375" style="227" customWidth="1"/>
    <col min="13829" max="13829" width="8.44140625" style="227" customWidth="1"/>
    <col min="13830" max="13831" width="9.109375" style="227" customWidth="1"/>
    <col min="13832" max="13832" width="8.88671875" style="227" customWidth="1"/>
    <col min="13833" max="13836" width="9.109375" style="227" customWidth="1"/>
    <col min="13837" max="13837" width="11.88671875" style="227" customWidth="1"/>
    <col min="13838" max="13838" width="10.44140625" style="227" customWidth="1"/>
    <col min="13839" max="13840" width="9.109375" style="227" customWidth="1"/>
    <col min="13841" max="13841" width="10.44140625" style="227" customWidth="1"/>
    <col min="13842" max="13843" width="9.109375" style="227" customWidth="1"/>
    <col min="13844" max="13844" width="11" style="227" customWidth="1"/>
    <col min="13845" max="13860" width="9.109375" style="227" customWidth="1"/>
    <col min="13861" max="13861" width="9.109375" style="227"/>
    <col min="13862" max="13877" width="9.109375" style="227" customWidth="1"/>
    <col min="13878" max="14080" width="9.109375" style="227"/>
    <col min="14081" max="14081" width="5.5546875" style="227" customWidth="1"/>
    <col min="14082" max="14082" width="25" style="227" customWidth="1"/>
    <col min="14083" max="14083" width="12.44140625" style="227" customWidth="1"/>
    <col min="14084" max="14084" width="9.109375" style="227" customWidth="1"/>
    <col min="14085" max="14085" width="8.44140625" style="227" customWidth="1"/>
    <col min="14086" max="14087" width="9.109375" style="227" customWidth="1"/>
    <col min="14088" max="14088" width="8.88671875" style="227" customWidth="1"/>
    <col min="14089" max="14092" width="9.109375" style="227" customWidth="1"/>
    <col min="14093" max="14093" width="11.88671875" style="227" customWidth="1"/>
    <col min="14094" max="14094" width="10.44140625" style="227" customWidth="1"/>
    <col min="14095" max="14096" width="9.109375" style="227" customWidth="1"/>
    <col min="14097" max="14097" width="10.44140625" style="227" customWidth="1"/>
    <col min="14098" max="14099" width="9.109375" style="227" customWidth="1"/>
    <col min="14100" max="14100" width="11" style="227" customWidth="1"/>
    <col min="14101" max="14116" width="9.109375" style="227" customWidth="1"/>
    <col min="14117" max="14117" width="9.109375" style="227"/>
    <col min="14118" max="14133" width="9.109375" style="227" customWidth="1"/>
    <col min="14134" max="14336" width="9.109375" style="227"/>
    <col min="14337" max="14337" width="5.5546875" style="227" customWidth="1"/>
    <col min="14338" max="14338" width="25" style="227" customWidth="1"/>
    <col min="14339" max="14339" width="12.44140625" style="227" customWidth="1"/>
    <col min="14340" max="14340" width="9.109375" style="227" customWidth="1"/>
    <col min="14341" max="14341" width="8.44140625" style="227" customWidth="1"/>
    <col min="14342" max="14343" width="9.109375" style="227" customWidth="1"/>
    <col min="14344" max="14344" width="8.88671875" style="227" customWidth="1"/>
    <col min="14345" max="14348" width="9.109375" style="227" customWidth="1"/>
    <col min="14349" max="14349" width="11.88671875" style="227" customWidth="1"/>
    <col min="14350" max="14350" width="10.44140625" style="227" customWidth="1"/>
    <col min="14351" max="14352" width="9.109375" style="227" customWidth="1"/>
    <col min="14353" max="14353" width="10.44140625" style="227" customWidth="1"/>
    <col min="14354" max="14355" width="9.109375" style="227" customWidth="1"/>
    <col min="14356" max="14356" width="11" style="227" customWidth="1"/>
    <col min="14357" max="14372" width="9.109375" style="227" customWidth="1"/>
    <col min="14373" max="14373" width="9.109375" style="227"/>
    <col min="14374" max="14389" width="9.109375" style="227" customWidth="1"/>
    <col min="14390" max="14592" width="9.109375" style="227"/>
    <col min="14593" max="14593" width="5.5546875" style="227" customWidth="1"/>
    <col min="14594" max="14594" width="25" style="227" customWidth="1"/>
    <col min="14595" max="14595" width="12.44140625" style="227" customWidth="1"/>
    <col min="14596" max="14596" width="9.109375" style="227" customWidth="1"/>
    <col min="14597" max="14597" width="8.44140625" style="227" customWidth="1"/>
    <col min="14598" max="14599" width="9.109375" style="227" customWidth="1"/>
    <col min="14600" max="14600" width="8.88671875" style="227" customWidth="1"/>
    <col min="14601" max="14604" width="9.109375" style="227" customWidth="1"/>
    <col min="14605" max="14605" width="11.88671875" style="227" customWidth="1"/>
    <col min="14606" max="14606" width="10.44140625" style="227" customWidth="1"/>
    <col min="14607" max="14608" width="9.109375" style="227" customWidth="1"/>
    <col min="14609" max="14609" width="10.44140625" style="227" customWidth="1"/>
    <col min="14610" max="14611" width="9.109375" style="227" customWidth="1"/>
    <col min="14612" max="14612" width="11" style="227" customWidth="1"/>
    <col min="14613" max="14628" width="9.109375" style="227" customWidth="1"/>
    <col min="14629" max="14629" width="9.109375" style="227"/>
    <col min="14630" max="14645" width="9.109375" style="227" customWidth="1"/>
    <col min="14646" max="14848" width="9.109375" style="227"/>
    <col min="14849" max="14849" width="5.5546875" style="227" customWidth="1"/>
    <col min="14850" max="14850" width="25" style="227" customWidth="1"/>
    <col min="14851" max="14851" width="12.44140625" style="227" customWidth="1"/>
    <col min="14852" max="14852" width="9.109375" style="227" customWidth="1"/>
    <col min="14853" max="14853" width="8.44140625" style="227" customWidth="1"/>
    <col min="14854" max="14855" width="9.109375" style="227" customWidth="1"/>
    <col min="14856" max="14856" width="8.88671875" style="227" customWidth="1"/>
    <col min="14857" max="14860" width="9.109375" style="227" customWidth="1"/>
    <col min="14861" max="14861" width="11.88671875" style="227" customWidth="1"/>
    <col min="14862" max="14862" width="10.44140625" style="227" customWidth="1"/>
    <col min="14863" max="14864" width="9.109375" style="227" customWidth="1"/>
    <col min="14865" max="14865" width="10.44140625" style="227" customWidth="1"/>
    <col min="14866" max="14867" width="9.109375" style="227" customWidth="1"/>
    <col min="14868" max="14868" width="11" style="227" customWidth="1"/>
    <col min="14869" max="14884" width="9.109375" style="227" customWidth="1"/>
    <col min="14885" max="14885" width="9.109375" style="227"/>
    <col min="14886" max="14901" width="9.109375" style="227" customWidth="1"/>
    <col min="14902" max="15104" width="9.109375" style="227"/>
    <col min="15105" max="15105" width="5.5546875" style="227" customWidth="1"/>
    <col min="15106" max="15106" width="25" style="227" customWidth="1"/>
    <col min="15107" max="15107" width="12.44140625" style="227" customWidth="1"/>
    <col min="15108" max="15108" width="9.109375" style="227" customWidth="1"/>
    <col min="15109" max="15109" width="8.44140625" style="227" customWidth="1"/>
    <col min="15110" max="15111" width="9.109375" style="227" customWidth="1"/>
    <col min="15112" max="15112" width="8.88671875" style="227" customWidth="1"/>
    <col min="15113" max="15116" width="9.109375" style="227" customWidth="1"/>
    <col min="15117" max="15117" width="11.88671875" style="227" customWidth="1"/>
    <col min="15118" max="15118" width="10.44140625" style="227" customWidth="1"/>
    <col min="15119" max="15120" width="9.109375" style="227" customWidth="1"/>
    <col min="15121" max="15121" width="10.44140625" style="227" customWidth="1"/>
    <col min="15122" max="15123" width="9.109375" style="227" customWidth="1"/>
    <col min="15124" max="15124" width="11" style="227" customWidth="1"/>
    <col min="15125" max="15140" width="9.109375" style="227" customWidth="1"/>
    <col min="15141" max="15141" width="9.109375" style="227"/>
    <col min="15142" max="15157" width="9.109375" style="227" customWidth="1"/>
    <col min="15158" max="15360" width="9.109375" style="227"/>
    <col min="15361" max="15361" width="5.5546875" style="227" customWidth="1"/>
    <col min="15362" max="15362" width="25" style="227" customWidth="1"/>
    <col min="15363" max="15363" width="12.44140625" style="227" customWidth="1"/>
    <col min="15364" max="15364" width="9.109375" style="227" customWidth="1"/>
    <col min="15365" max="15365" width="8.44140625" style="227" customWidth="1"/>
    <col min="15366" max="15367" width="9.109375" style="227" customWidth="1"/>
    <col min="15368" max="15368" width="8.88671875" style="227" customWidth="1"/>
    <col min="15369" max="15372" width="9.109375" style="227" customWidth="1"/>
    <col min="15373" max="15373" width="11.88671875" style="227" customWidth="1"/>
    <col min="15374" max="15374" width="10.44140625" style="227" customWidth="1"/>
    <col min="15375" max="15376" width="9.109375" style="227" customWidth="1"/>
    <col min="15377" max="15377" width="10.44140625" style="227" customWidth="1"/>
    <col min="15378" max="15379" width="9.109375" style="227" customWidth="1"/>
    <col min="15380" max="15380" width="11" style="227" customWidth="1"/>
    <col min="15381" max="15396" width="9.109375" style="227" customWidth="1"/>
    <col min="15397" max="15397" width="9.109375" style="227"/>
    <col min="15398" max="15413" width="9.109375" style="227" customWidth="1"/>
    <col min="15414" max="15616" width="9.109375" style="227"/>
    <col min="15617" max="15617" width="5.5546875" style="227" customWidth="1"/>
    <col min="15618" max="15618" width="25" style="227" customWidth="1"/>
    <col min="15619" max="15619" width="12.44140625" style="227" customWidth="1"/>
    <col min="15620" max="15620" width="9.109375" style="227" customWidth="1"/>
    <col min="15621" max="15621" width="8.44140625" style="227" customWidth="1"/>
    <col min="15622" max="15623" width="9.109375" style="227" customWidth="1"/>
    <col min="15624" max="15624" width="8.88671875" style="227" customWidth="1"/>
    <col min="15625" max="15628" width="9.109375" style="227" customWidth="1"/>
    <col min="15629" max="15629" width="11.88671875" style="227" customWidth="1"/>
    <col min="15630" max="15630" width="10.44140625" style="227" customWidth="1"/>
    <col min="15631" max="15632" width="9.109375" style="227" customWidth="1"/>
    <col min="15633" max="15633" width="10.44140625" style="227" customWidth="1"/>
    <col min="15634" max="15635" width="9.109375" style="227" customWidth="1"/>
    <col min="15636" max="15636" width="11" style="227" customWidth="1"/>
    <col min="15637" max="15652" width="9.109375" style="227" customWidth="1"/>
    <col min="15653" max="15653" width="9.109375" style="227"/>
    <col min="15654" max="15669" width="9.109375" style="227" customWidth="1"/>
    <col min="15670" max="15872" width="9.109375" style="227"/>
    <col min="15873" max="15873" width="5.5546875" style="227" customWidth="1"/>
    <col min="15874" max="15874" width="25" style="227" customWidth="1"/>
    <col min="15875" max="15875" width="12.44140625" style="227" customWidth="1"/>
    <col min="15876" max="15876" width="9.109375" style="227" customWidth="1"/>
    <col min="15877" max="15877" width="8.44140625" style="227" customWidth="1"/>
    <col min="15878" max="15879" width="9.109375" style="227" customWidth="1"/>
    <col min="15880" max="15880" width="8.88671875" style="227" customWidth="1"/>
    <col min="15881" max="15884" width="9.109375" style="227" customWidth="1"/>
    <col min="15885" max="15885" width="11.88671875" style="227" customWidth="1"/>
    <col min="15886" max="15886" width="10.44140625" style="227" customWidth="1"/>
    <col min="15887" max="15888" width="9.109375" style="227" customWidth="1"/>
    <col min="15889" max="15889" width="10.44140625" style="227" customWidth="1"/>
    <col min="15890" max="15891" width="9.109375" style="227" customWidth="1"/>
    <col min="15892" max="15892" width="11" style="227" customWidth="1"/>
    <col min="15893" max="15908" width="9.109375" style="227" customWidth="1"/>
    <col min="15909" max="15909" width="9.109375" style="227"/>
    <col min="15910" max="15925" width="9.109375" style="227" customWidth="1"/>
    <col min="15926" max="16128" width="9.109375" style="227"/>
    <col min="16129" max="16129" width="5.5546875" style="227" customWidth="1"/>
    <col min="16130" max="16130" width="25" style="227" customWidth="1"/>
    <col min="16131" max="16131" width="12.44140625" style="227" customWidth="1"/>
    <col min="16132" max="16132" width="9.109375" style="227" customWidth="1"/>
    <col min="16133" max="16133" width="8.44140625" style="227" customWidth="1"/>
    <col min="16134" max="16135" width="9.109375" style="227" customWidth="1"/>
    <col min="16136" max="16136" width="8.88671875" style="227" customWidth="1"/>
    <col min="16137" max="16140" width="9.109375" style="227" customWidth="1"/>
    <col min="16141" max="16141" width="11.88671875" style="227" customWidth="1"/>
    <col min="16142" max="16142" width="10.44140625" style="227" customWidth="1"/>
    <col min="16143" max="16144" width="9.109375" style="227" customWidth="1"/>
    <col min="16145" max="16145" width="10.44140625" style="227" customWidth="1"/>
    <col min="16146" max="16147" width="9.109375" style="227" customWidth="1"/>
    <col min="16148" max="16148" width="11" style="227" customWidth="1"/>
    <col min="16149" max="16164" width="9.109375" style="227" customWidth="1"/>
    <col min="16165" max="16165" width="9.109375" style="227"/>
    <col min="16166" max="16181" width="9.109375" style="227" customWidth="1"/>
    <col min="16182" max="16384" width="9.109375" style="227"/>
  </cols>
  <sheetData>
    <row r="1" spans="1:56" ht="15" customHeight="1" x14ac:dyDescent="0.25">
      <c r="A1" s="311"/>
      <c r="B1" s="311"/>
      <c r="Q1" s="315"/>
      <c r="R1" s="315"/>
      <c r="S1" s="315"/>
      <c r="AK1" s="73" t="s">
        <v>125</v>
      </c>
      <c r="AZ1" s="311"/>
      <c r="BA1" s="311"/>
    </row>
    <row r="2" spans="1:56" x14ac:dyDescent="0.25">
      <c r="A2" s="228"/>
    </row>
    <row r="3" spans="1:56" x14ac:dyDescent="0.25">
      <c r="A3" s="312" t="s">
        <v>256</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row>
    <row r="4" spans="1:56" x14ac:dyDescent="0.25">
      <c r="A4" s="313" t="s">
        <v>538</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row>
    <row r="5" spans="1:56" ht="5.4" customHeight="1" x14ac:dyDescent="0.25">
      <c r="B5" s="229"/>
    </row>
    <row r="6" spans="1:56" x14ac:dyDescent="0.25">
      <c r="B6" s="229"/>
      <c r="R6" s="230"/>
      <c r="S6" s="230"/>
      <c r="AL6" s="313" t="s">
        <v>312</v>
      </c>
      <c r="AM6" s="313"/>
    </row>
    <row r="7" spans="1:56" s="231" customFormat="1" ht="24.75" customHeight="1" x14ac:dyDescent="0.3">
      <c r="A7" s="308" t="s">
        <v>2</v>
      </c>
      <c r="B7" s="308" t="s">
        <v>126</v>
      </c>
      <c r="C7" s="316" t="s">
        <v>37</v>
      </c>
      <c r="D7" s="316"/>
      <c r="E7" s="316"/>
      <c r="F7" s="316"/>
      <c r="G7" s="316"/>
      <c r="H7" s="316"/>
      <c r="I7" s="316"/>
      <c r="J7" s="316"/>
      <c r="K7" s="316"/>
      <c r="L7" s="316"/>
      <c r="M7" s="316"/>
      <c r="N7" s="316"/>
      <c r="O7" s="316"/>
      <c r="P7" s="316"/>
      <c r="Q7" s="316"/>
      <c r="R7" s="316"/>
      <c r="S7" s="316"/>
      <c r="T7" s="314" t="s">
        <v>5</v>
      </c>
      <c r="U7" s="314"/>
      <c r="V7" s="314"/>
      <c r="W7" s="314"/>
      <c r="X7" s="314"/>
      <c r="Y7" s="314"/>
      <c r="Z7" s="314"/>
      <c r="AA7" s="314"/>
      <c r="AB7" s="314"/>
      <c r="AC7" s="314"/>
      <c r="AD7" s="314"/>
      <c r="AE7" s="314"/>
      <c r="AF7" s="314"/>
      <c r="AG7" s="314"/>
      <c r="AH7" s="314"/>
      <c r="AI7" s="314"/>
      <c r="AJ7" s="314"/>
      <c r="AK7" s="314" t="s">
        <v>6</v>
      </c>
      <c r="AL7" s="314"/>
      <c r="AM7" s="314"/>
      <c r="AN7" s="314"/>
      <c r="AO7" s="314"/>
      <c r="AP7" s="314"/>
      <c r="AQ7" s="314"/>
      <c r="AR7" s="314"/>
      <c r="AS7" s="314"/>
      <c r="AT7" s="314"/>
      <c r="AU7" s="314"/>
      <c r="AV7" s="314"/>
      <c r="AW7" s="314"/>
      <c r="AX7" s="314"/>
      <c r="AY7" s="314"/>
      <c r="AZ7" s="314"/>
      <c r="BA7" s="314"/>
      <c r="BB7" s="263"/>
    </row>
    <row r="8" spans="1:56" x14ac:dyDescent="0.25">
      <c r="A8" s="308"/>
      <c r="B8" s="308"/>
      <c r="C8" s="309" t="s">
        <v>113</v>
      </c>
      <c r="D8" s="309" t="s">
        <v>127</v>
      </c>
      <c r="E8" s="309"/>
      <c r="F8" s="309" t="s">
        <v>133</v>
      </c>
      <c r="G8" s="309"/>
      <c r="H8" s="309"/>
      <c r="I8" s="309"/>
      <c r="J8" s="309"/>
      <c r="K8" s="309"/>
      <c r="L8" s="309"/>
      <c r="M8" s="309" t="s">
        <v>132</v>
      </c>
      <c r="N8" s="309"/>
      <c r="O8" s="309"/>
      <c r="P8" s="309"/>
      <c r="Q8" s="309"/>
      <c r="R8" s="309"/>
      <c r="S8" s="309"/>
      <c r="T8" s="308" t="s">
        <v>113</v>
      </c>
      <c r="U8" s="308" t="s">
        <v>127</v>
      </c>
      <c r="V8" s="308"/>
      <c r="W8" s="308" t="s">
        <v>133</v>
      </c>
      <c r="X8" s="308"/>
      <c r="Y8" s="308"/>
      <c r="Z8" s="308"/>
      <c r="AA8" s="308"/>
      <c r="AB8" s="308"/>
      <c r="AC8" s="308"/>
      <c r="AD8" s="308" t="s">
        <v>132</v>
      </c>
      <c r="AE8" s="308"/>
      <c r="AF8" s="308"/>
      <c r="AG8" s="308"/>
      <c r="AH8" s="308"/>
      <c r="AI8" s="308"/>
      <c r="AJ8" s="308"/>
      <c r="AK8" s="308" t="s">
        <v>113</v>
      </c>
      <c r="AL8" s="308" t="s">
        <v>127</v>
      </c>
      <c r="AM8" s="308"/>
      <c r="AN8" s="308" t="s">
        <v>133</v>
      </c>
      <c r="AO8" s="308"/>
      <c r="AP8" s="308"/>
      <c r="AQ8" s="308"/>
      <c r="AR8" s="308"/>
      <c r="AS8" s="308"/>
      <c r="AT8" s="308"/>
      <c r="AU8" s="308" t="s">
        <v>132</v>
      </c>
      <c r="AV8" s="308"/>
      <c r="AW8" s="308"/>
      <c r="AX8" s="308"/>
      <c r="AY8" s="308"/>
      <c r="AZ8" s="308"/>
      <c r="BA8" s="308"/>
    </row>
    <row r="9" spans="1:56" x14ac:dyDescent="0.25">
      <c r="A9" s="308"/>
      <c r="B9" s="308"/>
      <c r="C9" s="309"/>
      <c r="D9" s="309" t="s">
        <v>128</v>
      </c>
      <c r="E9" s="309" t="s">
        <v>129</v>
      </c>
      <c r="F9" s="309" t="s">
        <v>113</v>
      </c>
      <c r="G9" s="310" t="s">
        <v>128</v>
      </c>
      <c r="H9" s="310"/>
      <c r="I9" s="310"/>
      <c r="J9" s="310" t="s">
        <v>129</v>
      </c>
      <c r="K9" s="310"/>
      <c r="L9" s="310"/>
      <c r="M9" s="309" t="s">
        <v>113</v>
      </c>
      <c r="N9" s="310" t="s">
        <v>128</v>
      </c>
      <c r="O9" s="310"/>
      <c r="P9" s="310"/>
      <c r="Q9" s="310" t="s">
        <v>129</v>
      </c>
      <c r="R9" s="310"/>
      <c r="S9" s="310"/>
      <c r="T9" s="308"/>
      <c r="U9" s="308" t="s">
        <v>128</v>
      </c>
      <c r="V9" s="308" t="s">
        <v>129</v>
      </c>
      <c r="W9" s="308" t="s">
        <v>113</v>
      </c>
      <c r="X9" s="308" t="s">
        <v>128</v>
      </c>
      <c r="Y9" s="308"/>
      <c r="Z9" s="308"/>
      <c r="AA9" s="308" t="s">
        <v>129</v>
      </c>
      <c r="AB9" s="308"/>
      <c r="AC9" s="308"/>
      <c r="AD9" s="308" t="s">
        <v>113</v>
      </c>
      <c r="AE9" s="308" t="s">
        <v>128</v>
      </c>
      <c r="AF9" s="308"/>
      <c r="AG9" s="308"/>
      <c r="AH9" s="308" t="s">
        <v>129</v>
      </c>
      <c r="AI9" s="308"/>
      <c r="AJ9" s="308"/>
      <c r="AK9" s="308"/>
      <c r="AL9" s="308" t="s">
        <v>128</v>
      </c>
      <c r="AM9" s="308" t="s">
        <v>129</v>
      </c>
      <c r="AN9" s="308" t="s">
        <v>113</v>
      </c>
      <c r="AO9" s="317" t="s">
        <v>128</v>
      </c>
      <c r="AP9" s="317"/>
      <c r="AQ9" s="317"/>
      <c r="AR9" s="317" t="s">
        <v>129</v>
      </c>
      <c r="AS9" s="317"/>
      <c r="AT9" s="317"/>
      <c r="AU9" s="308" t="s">
        <v>113</v>
      </c>
      <c r="AV9" s="317" t="s">
        <v>128</v>
      </c>
      <c r="AW9" s="317"/>
      <c r="AX9" s="317"/>
      <c r="AY9" s="317" t="s">
        <v>129</v>
      </c>
      <c r="AZ9" s="317"/>
      <c r="BA9" s="317"/>
    </row>
    <row r="10" spans="1:56" s="254" customFormat="1" ht="46.5" customHeight="1" x14ac:dyDescent="0.25">
      <c r="A10" s="308"/>
      <c r="B10" s="308"/>
      <c r="C10" s="309"/>
      <c r="D10" s="309"/>
      <c r="E10" s="309"/>
      <c r="F10" s="309"/>
      <c r="G10" s="180" t="s">
        <v>113</v>
      </c>
      <c r="H10" s="180" t="s">
        <v>130</v>
      </c>
      <c r="I10" s="180" t="s">
        <v>131</v>
      </c>
      <c r="J10" s="180" t="s">
        <v>113</v>
      </c>
      <c r="K10" s="180" t="s">
        <v>130</v>
      </c>
      <c r="L10" s="180" t="s">
        <v>131</v>
      </c>
      <c r="M10" s="309"/>
      <c r="N10" s="180" t="s">
        <v>113</v>
      </c>
      <c r="O10" s="180" t="s">
        <v>130</v>
      </c>
      <c r="P10" s="180" t="s">
        <v>131</v>
      </c>
      <c r="Q10" s="180" t="s">
        <v>113</v>
      </c>
      <c r="R10" s="180" t="s">
        <v>130</v>
      </c>
      <c r="S10" s="180" t="s">
        <v>131</v>
      </c>
      <c r="T10" s="308"/>
      <c r="U10" s="308"/>
      <c r="V10" s="308"/>
      <c r="W10" s="308"/>
      <c r="X10" s="262" t="s">
        <v>113</v>
      </c>
      <c r="Y10" s="262" t="s">
        <v>130</v>
      </c>
      <c r="Z10" s="262" t="s">
        <v>131</v>
      </c>
      <c r="AA10" s="262" t="s">
        <v>113</v>
      </c>
      <c r="AB10" s="262" t="s">
        <v>130</v>
      </c>
      <c r="AC10" s="262" t="s">
        <v>131</v>
      </c>
      <c r="AD10" s="308"/>
      <c r="AE10" s="262" t="s">
        <v>113</v>
      </c>
      <c r="AF10" s="262" t="s">
        <v>130</v>
      </c>
      <c r="AG10" s="262" t="s">
        <v>131</v>
      </c>
      <c r="AH10" s="262" t="s">
        <v>113</v>
      </c>
      <c r="AI10" s="262" t="s">
        <v>130</v>
      </c>
      <c r="AJ10" s="262" t="s">
        <v>131</v>
      </c>
      <c r="AK10" s="308"/>
      <c r="AL10" s="308"/>
      <c r="AM10" s="308"/>
      <c r="AN10" s="308"/>
      <c r="AO10" s="262" t="s">
        <v>113</v>
      </c>
      <c r="AP10" s="262" t="s">
        <v>130</v>
      </c>
      <c r="AQ10" s="262" t="s">
        <v>131</v>
      </c>
      <c r="AR10" s="262" t="s">
        <v>113</v>
      </c>
      <c r="AS10" s="262" t="s">
        <v>130</v>
      </c>
      <c r="AT10" s="262" t="s">
        <v>131</v>
      </c>
      <c r="AU10" s="308"/>
      <c r="AV10" s="262" t="s">
        <v>113</v>
      </c>
      <c r="AW10" s="262" t="s">
        <v>130</v>
      </c>
      <c r="AX10" s="262" t="s">
        <v>131</v>
      </c>
      <c r="AY10" s="262" t="s">
        <v>113</v>
      </c>
      <c r="AZ10" s="262" t="s">
        <v>130</v>
      </c>
      <c r="BA10" s="262" t="s">
        <v>131</v>
      </c>
    </row>
    <row r="11" spans="1:56" ht="27" customHeight="1" x14ac:dyDescent="0.25">
      <c r="A11" s="233" t="s">
        <v>7</v>
      </c>
      <c r="B11" s="233" t="s">
        <v>8</v>
      </c>
      <c r="C11" s="232" t="s">
        <v>62</v>
      </c>
      <c r="D11" s="232">
        <v>2</v>
      </c>
      <c r="E11" s="232">
        <v>3</v>
      </c>
      <c r="F11" s="232"/>
      <c r="G11" s="232"/>
      <c r="H11" s="232"/>
      <c r="I11" s="232"/>
      <c r="J11" s="232"/>
      <c r="K11" s="232"/>
      <c r="L11" s="232"/>
      <c r="M11" s="232"/>
      <c r="N11" s="232"/>
      <c r="O11" s="232"/>
      <c r="P11" s="232"/>
      <c r="Q11" s="232"/>
      <c r="R11" s="232"/>
      <c r="S11" s="232"/>
      <c r="T11" s="233" t="s">
        <v>63</v>
      </c>
      <c r="U11" s="233" t="s">
        <v>480</v>
      </c>
      <c r="V11" s="233" t="s">
        <v>481</v>
      </c>
      <c r="W11" s="233" t="s">
        <v>482</v>
      </c>
      <c r="X11" s="233">
        <v>8</v>
      </c>
      <c r="Y11" s="233">
        <v>9</v>
      </c>
      <c r="Z11" s="233">
        <v>10</v>
      </c>
      <c r="AA11" s="233">
        <v>11</v>
      </c>
      <c r="AB11" s="233">
        <v>12</v>
      </c>
      <c r="AC11" s="233">
        <v>13</v>
      </c>
      <c r="AD11" s="233" t="s">
        <v>483</v>
      </c>
      <c r="AE11" s="233">
        <v>15</v>
      </c>
      <c r="AF11" s="233">
        <v>16</v>
      </c>
      <c r="AG11" s="233">
        <v>17</v>
      </c>
      <c r="AH11" s="233">
        <v>18</v>
      </c>
      <c r="AI11" s="233">
        <v>19</v>
      </c>
      <c r="AJ11" s="233">
        <v>20</v>
      </c>
      <c r="AK11" s="71" t="s">
        <v>134</v>
      </c>
      <c r="AL11" s="72" t="s">
        <v>135</v>
      </c>
      <c r="AM11" s="72" t="s">
        <v>491</v>
      </c>
      <c r="AN11" s="233" t="s">
        <v>465</v>
      </c>
      <c r="AO11" s="233" t="s">
        <v>466</v>
      </c>
      <c r="AP11" s="233" t="s">
        <v>467</v>
      </c>
      <c r="AQ11" s="233" t="s">
        <v>468</v>
      </c>
      <c r="AR11" s="233" t="s">
        <v>469</v>
      </c>
      <c r="AS11" s="233" t="s">
        <v>470</v>
      </c>
      <c r="AT11" s="233" t="s">
        <v>471</v>
      </c>
      <c r="AU11" s="233" t="s">
        <v>472</v>
      </c>
      <c r="AV11" s="233" t="s">
        <v>473</v>
      </c>
      <c r="AW11" s="233" t="s">
        <v>474</v>
      </c>
      <c r="AX11" s="233" t="s">
        <v>475</v>
      </c>
      <c r="AY11" s="233" t="s">
        <v>476</v>
      </c>
      <c r="AZ11" s="233" t="s">
        <v>477</v>
      </c>
      <c r="BA11" s="233" t="s">
        <v>478</v>
      </c>
    </row>
    <row r="12" spans="1:56" ht="25.95" customHeight="1" x14ac:dyDescent="0.25">
      <c r="A12" s="234"/>
      <c r="B12" s="235" t="s">
        <v>101</v>
      </c>
      <c r="C12" s="236">
        <f t="shared" ref="C12:AJ12" si="0">SUBTOTAL(9,C13:C42)</f>
        <v>661008</v>
      </c>
      <c r="D12" s="236">
        <f t="shared" si="0"/>
        <v>512816</v>
      </c>
      <c r="E12" s="236">
        <f t="shared" si="0"/>
        <v>148192</v>
      </c>
      <c r="F12" s="236">
        <f t="shared" si="0"/>
        <v>288518</v>
      </c>
      <c r="G12" s="236">
        <f t="shared" si="0"/>
        <v>228626</v>
      </c>
      <c r="H12" s="236">
        <f t="shared" si="0"/>
        <v>162551</v>
      </c>
      <c r="I12" s="236">
        <f t="shared" si="0"/>
        <v>66075</v>
      </c>
      <c r="J12" s="236">
        <f t="shared" si="0"/>
        <v>59892</v>
      </c>
      <c r="K12" s="236">
        <f t="shared" si="0"/>
        <v>59892</v>
      </c>
      <c r="L12" s="236">
        <f t="shared" si="0"/>
        <v>0</v>
      </c>
      <c r="M12" s="236">
        <f t="shared" si="0"/>
        <v>372490</v>
      </c>
      <c r="N12" s="236">
        <f t="shared" si="0"/>
        <v>284190</v>
      </c>
      <c r="O12" s="236">
        <f t="shared" si="0"/>
        <v>164190</v>
      </c>
      <c r="P12" s="236">
        <f t="shared" si="0"/>
        <v>120000</v>
      </c>
      <c r="Q12" s="236">
        <f t="shared" si="0"/>
        <v>88300</v>
      </c>
      <c r="R12" s="236">
        <f t="shared" si="0"/>
        <v>88300</v>
      </c>
      <c r="S12" s="236">
        <f t="shared" si="0"/>
        <v>0</v>
      </c>
      <c r="T12" s="237">
        <f t="shared" si="0"/>
        <v>690045.38341299992</v>
      </c>
      <c r="U12" s="237">
        <f t="shared" si="0"/>
        <v>549396.58079599997</v>
      </c>
      <c r="V12" s="237">
        <f t="shared" si="0"/>
        <v>140648.80261700001</v>
      </c>
      <c r="W12" s="237">
        <f t="shared" si="0"/>
        <v>316977.92241899995</v>
      </c>
      <c r="X12" s="237">
        <f t="shared" si="0"/>
        <v>259669.26376999999</v>
      </c>
      <c r="Y12" s="237">
        <f t="shared" si="0"/>
        <v>194812.15677</v>
      </c>
      <c r="Z12" s="237">
        <f t="shared" si="0"/>
        <v>64857.107000000004</v>
      </c>
      <c r="AA12" s="237">
        <f t="shared" si="0"/>
        <v>57308.65864899999</v>
      </c>
      <c r="AB12" s="237">
        <f t="shared" si="0"/>
        <v>57308.65864899999</v>
      </c>
      <c r="AC12" s="237">
        <f t="shared" si="0"/>
        <v>0</v>
      </c>
      <c r="AD12" s="237">
        <f t="shared" si="0"/>
        <v>373067.46099400008</v>
      </c>
      <c r="AE12" s="237">
        <f t="shared" si="0"/>
        <v>289727.317026</v>
      </c>
      <c r="AF12" s="237">
        <f t="shared" si="0"/>
        <v>171747.95236900004</v>
      </c>
      <c r="AG12" s="237">
        <f t="shared" si="0"/>
        <v>117979.364657</v>
      </c>
      <c r="AH12" s="237">
        <f t="shared" si="0"/>
        <v>83340.143967999989</v>
      </c>
      <c r="AI12" s="237">
        <f t="shared" si="0"/>
        <v>83340.143967999989</v>
      </c>
      <c r="AJ12" s="237">
        <f t="shared" si="0"/>
        <v>0</v>
      </c>
      <c r="AK12" s="238">
        <f t="shared" ref="AK12:AP23" si="1">T12/C12</f>
        <v>1.043928943996139</v>
      </c>
      <c r="AL12" s="238">
        <f t="shared" si="1"/>
        <v>1.0713327602804903</v>
      </c>
      <c r="AM12" s="238">
        <f t="shared" si="1"/>
        <v>0.94909848451333412</v>
      </c>
      <c r="AN12" s="238">
        <f t="shared" si="1"/>
        <v>1.0986417569059814</v>
      </c>
      <c r="AO12" s="238">
        <f t="shared" si="1"/>
        <v>1.1357818610744184</v>
      </c>
      <c r="AP12" s="238">
        <f t="shared" si="1"/>
        <v>1.1984679071183812</v>
      </c>
      <c r="AQ12" s="238"/>
      <c r="AR12" s="238">
        <f t="shared" ref="AR12:AS15" si="2">AA12/J12</f>
        <v>0.95686667082415</v>
      </c>
      <c r="AS12" s="238">
        <f t="shared" si="2"/>
        <v>0.95686667082415</v>
      </c>
      <c r="AT12" s="238"/>
      <c r="AU12" s="238">
        <f>AD12/M12</f>
        <v>1.001550272474429</v>
      </c>
      <c r="AV12" s="238">
        <f>AE12/N12</f>
        <v>1.0194845597170907</v>
      </c>
      <c r="AW12" s="238">
        <f>AF12/O12</f>
        <v>1.0460317459589503</v>
      </c>
      <c r="AX12" s="238"/>
      <c r="AY12" s="238">
        <f t="shared" ref="AY12:AZ21" si="3">AH12/Q12</f>
        <v>0.94382949001132488</v>
      </c>
      <c r="AZ12" s="238">
        <f t="shared" si="3"/>
        <v>0.94382949001132488</v>
      </c>
      <c r="BA12" s="238"/>
    </row>
    <row r="13" spans="1:56" x14ac:dyDescent="0.25">
      <c r="A13" s="169" t="s">
        <v>41</v>
      </c>
      <c r="B13" s="170" t="s">
        <v>304</v>
      </c>
      <c r="C13" s="236">
        <f t="shared" ref="C13:AJ13" si="4">SUBTOTAL(9,C14:C30)</f>
        <v>156888</v>
      </c>
      <c r="D13" s="236">
        <f t="shared" si="4"/>
        <v>143516</v>
      </c>
      <c r="E13" s="236">
        <f t="shared" si="4"/>
        <v>13372</v>
      </c>
      <c r="F13" s="236">
        <f t="shared" si="4"/>
        <v>146898</v>
      </c>
      <c r="G13" s="236">
        <f t="shared" si="4"/>
        <v>140336</v>
      </c>
      <c r="H13" s="236">
        <f t="shared" si="4"/>
        <v>140336</v>
      </c>
      <c r="I13" s="236">
        <f t="shared" si="4"/>
        <v>0</v>
      </c>
      <c r="J13" s="236">
        <f t="shared" si="4"/>
        <v>6562</v>
      </c>
      <c r="K13" s="236">
        <f t="shared" si="4"/>
        <v>6562</v>
      </c>
      <c r="L13" s="236">
        <f t="shared" si="4"/>
        <v>0</v>
      </c>
      <c r="M13" s="236">
        <f t="shared" si="4"/>
        <v>9990</v>
      </c>
      <c r="N13" s="236">
        <f t="shared" si="4"/>
        <v>3180</v>
      </c>
      <c r="O13" s="236">
        <f t="shared" si="4"/>
        <v>3180</v>
      </c>
      <c r="P13" s="236">
        <f t="shared" si="4"/>
        <v>0</v>
      </c>
      <c r="Q13" s="236">
        <f t="shared" si="4"/>
        <v>6810</v>
      </c>
      <c r="R13" s="236">
        <f t="shared" si="4"/>
        <v>6810</v>
      </c>
      <c r="S13" s="236">
        <f t="shared" si="4"/>
        <v>0</v>
      </c>
      <c r="T13" s="236">
        <f t="shared" si="4"/>
        <v>165821.893644</v>
      </c>
      <c r="U13" s="236">
        <f t="shared" si="4"/>
        <v>153995.07577000002</v>
      </c>
      <c r="V13" s="236">
        <f t="shared" si="4"/>
        <v>11826.817874</v>
      </c>
      <c r="W13" s="236">
        <f t="shared" si="4"/>
        <v>160164.07577</v>
      </c>
      <c r="X13" s="236">
        <f t="shared" si="4"/>
        <v>153995.07577000002</v>
      </c>
      <c r="Y13" s="236">
        <f t="shared" si="4"/>
        <v>153995.07577000002</v>
      </c>
      <c r="Z13" s="236">
        <f t="shared" si="4"/>
        <v>0</v>
      </c>
      <c r="AA13" s="236">
        <f t="shared" si="4"/>
        <v>6169</v>
      </c>
      <c r="AB13" s="236">
        <f t="shared" si="4"/>
        <v>6169</v>
      </c>
      <c r="AC13" s="236">
        <f t="shared" si="4"/>
        <v>0</v>
      </c>
      <c r="AD13" s="236">
        <f t="shared" si="4"/>
        <v>5657.8178740000003</v>
      </c>
      <c r="AE13" s="236">
        <f t="shared" si="4"/>
        <v>0</v>
      </c>
      <c r="AF13" s="236">
        <f t="shared" si="4"/>
        <v>0</v>
      </c>
      <c r="AG13" s="236">
        <f t="shared" si="4"/>
        <v>0</v>
      </c>
      <c r="AH13" s="236">
        <f t="shared" si="4"/>
        <v>5657.8178740000003</v>
      </c>
      <c r="AI13" s="236">
        <f t="shared" si="4"/>
        <v>5657.8178740000003</v>
      </c>
      <c r="AJ13" s="236">
        <f t="shared" si="4"/>
        <v>0</v>
      </c>
      <c r="AK13" s="238">
        <f>T13/C13</f>
        <v>1.056944403931467</v>
      </c>
      <c r="AL13" s="238"/>
      <c r="AM13" s="238">
        <f t="shared" si="1"/>
        <v>0.88444644585701471</v>
      </c>
      <c r="AN13" s="238">
        <f t="shared" si="1"/>
        <v>1.0903080761480755</v>
      </c>
      <c r="AO13" s="238"/>
      <c r="AP13" s="238"/>
      <c r="AQ13" s="238"/>
      <c r="AR13" s="238">
        <f t="shared" si="2"/>
        <v>0.94010972264553494</v>
      </c>
      <c r="AS13" s="238">
        <f t="shared" si="2"/>
        <v>0.94010972264553494</v>
      </c>
      <c r="AT13" s="238"/>
      <c r="AU13" s="238">
        <f t="shared" ref="AU13:AU21" si="5">AD13/M13</f>
        <v>0.56634813553553554</v>
      </c>
      <c r="AV13" s="238"/>
      <c r="AW13" s="238"/>
      <c r="AX13" s="238"/>
      <c r="AY13" s="238">
        <f t="shared" si="3"/>
        <v>0.83081026049926587</v>
      </c>
      <c r="AZ13" s="238">
        <f t="shared" si="3"/>
        <v>0.83081026049926587</v>
      </c>
      <c r="BA13" s="238"/>
    </row>
    <row r="14" spans="1:56" ht="21.75" customHeight="1" x14ac:dyDescent="0.25">
      <c r="A14" s="165">
        <v>1</v>
      </c>
      <c r="B14" s="171" t="s">
        <v>305</v>
      </c>
      <c r="C14" s="239">
        <f>D14+E14</f>
        <v>3890</v>
      </c>
      <c r="D14" s="240">
        <f>G14+N14</f>
        <v>0</v>
      </c>
      <c r="E14" s="240">
        <f>J14+Q14</f>
        <v>3890</v>
      </c>
      <c r="F14" s="240">
        <f>G14+J14</f>
        <v>1990</v>
      </c>
      <c r="G14" s="240">
        <f>H14+I14</f>
        <v>0</v>
      </c>
      <c r="H14" s="240"/>
      <c r="I14" s="240"/>
      <c r="J14" s="240">
        <f>K14+L14</f>
        <v>1990</v>
      </c>
      <c r="K14" s="240">
        <v>1990</v>
      </c>
      <c r="L14" s="240"/>
      <c r="M14" s="240">
        <f>N14+Q14</f>
        <v>1900</v>
      </c>
      <c r="N14" s="240">
        <f>O14+P14</f>
        <v>0</v>
      </c>
      <c r="O14" s="241"/>
      <c r="P14" s="240"/>
      <c r="Q14" s="240">
        <f>R14+S14</f>
        <v>1900</v>
      </c>
      <c r="R14" s="240">
        <v>1900</v>
      </c>
      <c r="S14" s="240"/>
      <c r="T14" s="242">
        <f>U14+V14</f>
        <v>3492</v>
      </c>
      <c r="U14" s="243">
        <f>X14+AE14</f>
        <v>0</v>
      </c>
      <c r="V14" s="243">
        <f>AA14+AH14</f>
        <v>3492</v>
      </c>
      <c r="W14" s="243">
        <f>X14+AA14</f>
        <v>1907</v>
      </c>
      <c r="X14" s="243">
        <f>Y14+Z14</f>
        <v>0</v>
      </c>
      <c r="Y14" s="244">
        <v>0</v>
      </c>
      <c r="Z14" s="243">
        <v>0</v>
      </c>
      <c r="AA14" s="243">
        <f>AB14+AC14</f>
        <v>1907</v>
      </c>
      <c r="AB14" s="243">
        <v>1907</v>
      </c>
      <c r="AC14" s="243">
        <v>0</v>
      </c>
      <c r="AD14" s="243">
        <f>AE14+AH14</f>
        <v>1585</v>
      </c>
      <c r="AE14" s="243">
        <f>AF14+AG14</f>
        <v>0</v>
      </c>
      <c r="AF14" s="243">
        <v>0</v>
      </c>
      <c r="AG14" s="243">
        <v>0</v>
      </c>
      <c r="AH14" s="243">
        <f>AI14+AJ14</f>
        <v>1585</v>
      </c>
      <c r="AI14" s="243">
        <v>1585</v>
      </c>
      <c r="AJ14" s="243">
        <v>0</v>
      </c>
      <c r="AK14" s="245">
        <f t="shared" ref="AK14:AK26" si="6">T14/C14</f>
        <v>0.89768637532133677</v>
      </c>
      <c r="AL14" s="245"/>
      <c r="AM14" s="245">
        <f t="shared" si="1"/>
        <v>0.89768637532133677</v>
      </c>
      <c r="AN14" s="245">
        <f t="shared" si="1"/>
        <v>0.95829145728643217</v>
      </c>
      <c r="AO14" s="245"/>
      <c r="AP14" s="245"/>
      <c r="AQ14" s="245"/>
      <c r="AR14" s="245">
        <f t="shared" si="2"/>
        <v>0.95829145728643217</v>
      </c>
      <c r="AS14" s="245">
        <f t="shared" si="2"/>
        <v>0.95829145728643217</v>
      </c>
      <c r="AT14" s="245"/>
      <c r="AU14" s="245">
        <f t="shared" si="5"/>
        <v>0.83421052631578951</v>
      </c>
      <c r="AV14" s="245"/>
      <c r="AW14" s="245"/>
      <c r="AX14" s="245"/>
      <c r="AY14" s="245">
        <f t="shared" si="3"/>
        <v>0.83421052631578951</v>
      </c>
      <c r="AZ14" s="245">
        <f t="shared" si="3"/>
        <v>0.83421052631578951</v>
      </c>
      <c r="BA14" s="245"/>
    </row>
    <row r="15" spans="1:56" ht="21.75" customHeight="1" x14ac:dyDescent="0.25">
      <c r="A15" s="165">
        <v>2</v>
      </c>
      <c r="B15" s="171" t="s">
        <v>306</v>
      </c>
      <c r="C15" s="239">
        <f t="shared" ref="C15:C29" si="7">D15+E15</f>
        <v>1041</v>
      </c>
      <c r="D15" s="240">
        <f t="shared" ref="D15:D29" si="8">G15+N15</f>
        <v>0</v>
      </c>
      <c r="E15" s="240">
        <f t="shared" ref="E15:E29" si="9">J15+Q15</f>
        <v>1041</v>
      </c>
      <c r="F15" s="240">
        <f t="shared" ref="F15:F29" si="10">G15+J15</f>
        <v>841</v>
      </c>
      <c r="G15" s="240">
        <f t="shared" ref="G15:G29" si="11">H15+I15</f>
        <v>0</v>
      </c>
      <c r="H15" s="240"/>
      <c r="I15" s="240"/>
      <c r="J15" s="240">
        <f t="shared" ref="J15:J29" si="12">K15+L15</f>
        <v>841</v>
      </c>
      <c r="K15" s="240">
        <v>841</v>
      </c>
      <c r="L15" s="240"/>
      <c r="M15" s="240">
        <f t="shared" ref="M15:M29" si="13">N15+Q15</f>
        <v>200</v>
      </c>
      <c r="N15" s="240">
        <f t="shared" ref="N15:N29" si="14">O15+P15</f>
        <v>0</v>
      </c>
      <c r="O15" s="241"/>
      <c r="P15" s="240"/>
      <c r="Q15" s="240">
        <f t="shared" ref="Q15:Q29" si="15">R15+S15</f>
        <v>200</v>
      </c>
      <c r="R15" s="240">
        <v>200</v>
      </c>
      <c r="S15" s="240"/>
      <c r="T15" s="242">
        <f>U15+V15</f>
        <v>662.89300000000003</v>
      </c>
      <c r="U15" s="243">
        <f t="shared" ref="U15:U29" si="16">X15+AE15</f>
        <v>0</v>
      </c>
      <c r="V15" s="243">
        <f>AA15+AH15</f>
        <v>662.89300000000003</v>
      </c>
      <c r="W15" s="243">
        <f>X15+AA15</f>
        <v>568</v>
      </c>
      <c r="X15" s="243">
        <f t="shared" ref="X15:X29" si="17">Y15+Z15</f>
        <v>0</v>
      </c>
      <c r="Y15" s="244">
        <v>0</v>
      </c>
      <c r="Z15" s="243">
        <v>0</v>
      </c>
      <c r="AA15" s="243">
        <f t="shared" ref="AA15:AA23" si="18">AB15+AC15</f>
        <v>568</v>
      </c>
      <c r="AB15" s="243">
        <v>568</v>
      </c>
      <c r="AC15" s="243">
        <v>0</v>
      </c>
      <c r="AD15" s="243">
        <f>AE15+AH15</f>
        <v>94.893000000000001</v>
      </c>
      <c r="AE15" s="243">
        <f t="shared" ref="AE15:AE23" si="19">AF15+AG15</f>
        <v>0</v>
      </c>
      <c r="AF15" s="243">
        <v>0</v>
      </c>
      <c r="AG15" s="243">
        <v>0</v>
      </c>
      <c r="AH15" s="243">
        <f t="shared" ref="AH15:AH23" si="20">AI15+AJ15</f>
        <v>94.893000000000001</v>
      </c>
      <c r="AI15" s="243">
        <v>94.893000000000001</v>
      </c>
      <c r="AJ15" s="243">
        <v>0</v>
      </c>
      <c r="AK15" s="245">
        <f>T15/C15</f>
        <v>0.63678482228626321</v>
      </c>
      <c r="AL15" s="245"/>
      <c r="AM15" s="245">
        <f>V15/E15</f>
        <v>0.63678482228626321</v>
      </c>
      <c r="AN15" s="245">
        <f t="shared" si="1"/>
        <v>0.67538644470868014</v>
      </c>
      <c r="AO15" s="245"/>
      <c r="AP15" s="245"/>
      <c r="AQ15" s="245"/>
      <c r="AR15" s="245">
        <f t="shared" si="2"/>
        <v>0.67538644470868014</v>
      </c>
      <c r="AS15" s="245">
        <f t="shared" si="2"/>
        <v>0.67538644470868014</v>
      </c>
      <c r="AT15" s="245"/>
      <c r="AU15" s="245">
        <f t="shared" si="5"/>
        <v>0.47446500000000003</v>
      </c>
      <c r="AV15" s="245"/>
      <c r="AW15" s="245"/>
      <c r="AX15" s="245"/>
      <c r="AY15" s="245">
        <f t="shared" si="3"/>
        <v>0.47446500000000003</v>
      </c>
      <c r="AZ15" s="245">
        <f t="shared" si="3"/>
        <v>0.47446500000000003</v>
      </c>
      <c r="BA15" s="245"/>
      <c r="BD15" s="246"/>
    </row>
    <row r="16" spans="1:56" ht="24.75" customHeight="1" x14ac:dyDescent="0.25">
      <c r="A16" s="165">
        <v>3</v>
      </c>
      <c r="B16" s="166" t="s">
        <v>163</v>
      </c>
      <c r="C16" s="239">
        <f t="shared" si="7"/>
        <v>3000</v>
      </c>
      <c r="D16" s="240">
        <f t="shared" si="8"/>
        <v>0</v>
      </c>
      <c r="E16" s="240">
        <f t="shared" si="9"/>
        <v>3000</v>
      </c>
      <c r="F16" s="240">
        <f t="shared" si="10"/>
        <v>0</v>
      </c>
      <c r="G16" s="240">
        <f t="shared" si="11"/>
        <v>0</v>
      </c>
      <c r="H16" s="240"/>
      <c r="I16" s="240"/>
      <c r="J16" s="240">
        <f t="shared" si="12"/>
        <v>0</v>
      </c>
      <c r="K16" s="240"/>
      <c r="L16" s="240"/>
      <c r="M16" s="240">
        <f t="shared" si="13"/>
        <v>3000</v>
      </c>
      <c r="N16" s="240">
        <f t="shared" si="14"/>
        <v>0</v>
      </c>
      <c r="O16" s="241"/>
      <c r="P16" s="240"/>
      <c r="Q16" s="240">
        <f t="shared" si="15"/>
        <v>3000</v>
      </c>
      <c r="R16" s="240">
        <v>3000</v>
      </c>
      <c r="S16" s="240"/>
      <c r="T16" s="242">
        <f t="shared" ref="T16:T29" si="21">U16+V16</f>
        <v>2358.9488740000002</v>
      </c>
      <c r="U16" s="243">
        <f t="shared" si="16"/>
        <v>0</v>
      </c>
      <c r="V16" s="243">
        <f t="shared" ref="V16:V29" si="22">AA16+AH16</f>
        <v>2358.9488740000002</v>
      </c>
      <c r="W16" s="243">
        <f t="shared" ref="W16:W29" si="23">X16+AA16</f>
        <v>0</v>
      </c>
      <c r="X16" s="243">
        <f t="shared" si="17"/>
        <v>0</v>
      </c>
      <c r="Y16" s="244"/>
      <c r="Z16" s="243"/>
      <c r="AA16" s="243">
        <f t="shared" si="18"/>
        <v>0</v>
      </c>
      <c r="AB16" s="243"/>
      <c r="AC16" s="243"/>
      <c r="AD16" s="243">
        <f t="shared" ref="AD16:AD23" si="24">AE16+AH16</f>
        <v>2358.9488740000002</v>
      </c>
      <c r="AE16" s="243">
        <f t="shared" si="19"/>
        <v>0</v>
      </c>
      <c r="AF16" s="243"/>
      <c r="AG16" s="243"/>
      <c r="AH16" s="243">
        <f t="shared" si="20"/>
        <v>2358.9488740000002</v>
      </c>
      <c r="AI16" s="243">
        <v>2358.9488740000002</v>
      </c>
      <c r="AJ16" s="243"/>
      <c r="AK16" s="245">
        <f t="shared" si="6"/>
        <v>0.78631629133333336</v>
      </c>
      <c r="AL16" s="245"/>
      <c r="AM16" s="245">
        <f t="shared" si="1"/>
        <v>0.78631629133333336</v>
      </c>
      <c r="AN16" s="245"/>
      <c r="AO16" s="245"/>
      <c r="AP16" s="245"/>
      <c r="AQ16" s="245"/>
      <c r="AR16" s="245"/>
      <c r="AS16" s="245"/>
      <c r="AT16" s="245"/>
      <c r="AU16" s="245">
        <f t="shared" si="5"/>
        <v>0.78631629133333336</v>
      </c>
      <c r="AV16" s="245"/>
      <c r="AW16" s="245"/>
      <c r="AX16" s="245"/>
      <c r="AY16" s="245">
        <f t="shared" si="3"/>
        <v>0.78631629133333336</v>
      </c>
      <c r="AZ16" s="245">
        <f t="shared" si="3"/>
        <v>0.78631629133333336</v>
      </c>
      <c r="BA16" s="245"/>
    </row>
    <row r="17" spans="1:55" ht="26.4" x14ac:dyDescent="0.25">
      <c r="A17" s="165">
        <v>4</v>
      </c>
      <c r="B17" s="166" t="s">
        <v>307</v>
      </c>
      <c r="C17" s="239">
        <f t="shared" si="7"/>
        <v>200</v>
      </c>
      <c r="D17" s="240">
        <f t="shared" si="8"/>
        <v>0</v>
      </c>
      <c r="E17" s="240">
        <f t="shared" si="9"/>
        <v>200</v>
      </c>
      <c r="F17" s="240">
        <f t="shared" si="10"/>
        <v>0</v>
      </c>
      <c r="G17" s="240">
        <f t="shared" si="11"/>
        <v>0</v>
      </c>
      <c r="H17" s="240"/>
      <c r="I17" s="240"/>
      <c r="J17" s="240">
        <f t="shared" si="12"/>
        <v>0</v>
      </c>
      <c r="K17" s="240"/>
      <c r="L17" s="240"/>
      <c r="M17" s="240">
        <f t="shared" si="13"/>
        <v>200</v>
      </c>
      <c r="N17" s="240">
        <f t="shared" si="14"/>
        <v>0</v>
      </c>
      <c r="O17" s="241"/>
      <c r="P17" s="240"/>
      <c r="Q17" s="240">
        <f t="shared" si="15"/>
        <v>200</v>
      </c>
      <c r="R17" s="240">
        <v>200</v>
      </c>
      <c r="S17" s="240"/>
      <c r="T17" s="242">
        <f t="shared" si="21"/>
        <v>199.934</v>
      </c>
      <c r="U17" s="243">
        <f t="shared" si="16"/>
        <v>0</v>
      </c>
      <c r="V17" s="243">
        <f t="shared" si="22"/>
        <v>199.934</v>
      </c>
      <c r="W17" s="243">
        <f t="shared" si="23"/>
        <v>0</v>
      </c>
      <c r="X17" s="243">
        <f t="shared" si="17"/>
        <v>0</v>
      </c>
      <c r="Y17" s="244">
        <v>0</v>
      </c>
      <c r="Z17" s="243">
        <v>0</v>
      </c>
      <c r="AA17" s="243">
        <f t="shared" si="18"/>
        <v>0</v>
      </c>
      <c r="AB17" s="243">
        <v>0</v>
      </c>
      <c r="AC17" s="243">
        <v>0</v>
      </c>
      <c r="AD17" s="243">
        <f t="shared" si="24"/>
        <v>199.934</v>
      </c>
      <c r="AE17" s="243">
        <f t="shared" si="19"/>
        <v>0</v>
      </c>
      <c r="AF17" s="243">
        <v>0</v>
      </c>
      <c r="AG17" s="243">
        <v>0</v>
      </c>
      <c r="AH17" s="243">
        <f t="shared" si="20"/>
        <v>199.934</v>
      </c>
      <c r="AI17" s="243">
        <v>199.934</v>
      </c>
      <c r="AJ17" s="243">
        <v>0</v>
      </c>
      <c r="AK17" s="245">
        <f t="shared" si="6"/>
        <v>0.99966999999999995</v>
      </c>
      <c r="AL17" s="245"/>
      <c r="AM17" s="245">
        <f t="shared" si="1"/>
        <v>0.99966999999999995</v>
      </c>
      <c r="AN17" s="245"/>
      <c r="AO17" s="245"/>
      <c r="AP17" s="245"/>
      <c r="AQ17" s="245"/>
      <c r="AR17" s="245"/>
      <c r="AS17" s="245"/>
      <c r="AT17" s="245"/>
      <c r="AU17" s="245">
        <f t="shared" si="5"/>
        <v>0.99966999999999995</v>
      </c>
      <c r="AV17" s="245"/>
      <c r="AW17" s="245"/>
      <c r="AX17" s="245"/>
      <c r="AY17" s="245">
        <f t="shared" si="3"/>
        <v>0.99966999999999995</v>
      </c>
      <c r="AZ17" s="245">
        <f t="shared" si="3"/>
        <v>0.99966999999999995</v>
      </c>
      <c r="BA17" s="245"/>
    </row>
    <row r="18" spans="1:55" x14ac:dyDescent="0.25">
      <c r="A18" s="165">
        <v>5</v>
      </c>
      <c r="B18" s="171" t="s">
        <v>164</v>
      </c>
      <c r="C18" s="239">
        <f t="shared" si="7"/>
        <v>360</v>
      </c>
      <c r="D18" s="240">
        <f t="shared" si="8"/>
        <v>0</v>
      </c>
      <c r="E18" s="240">
        <f t="shared" si="9"/>
        <v>360</v>
      </c>
      <c r="F18" s="240">
        <f t="shared" si="10"/>
        <v>0</v>
      </c>
      <c r="G18" s="240">
        <f t="shared" si="11"/>
        <v>0</v>
      </c>
      <c r="H18" s="240"/>
      <c r="I18" s="240"/>
      <c r="J18" s="240">
        <f t="shared" si="12"/>
        <v>0</v>
      </c>
      <c r="K18" s="240"/>
      <c r="L18" s="240"/>
      <c r="M18" s="240">
        <f t="shared" si="13"/>
        <v>360</v>
      </c>
      <c r="N18" s="240">
        <f t="shared" si="14"/>
        <v>0</v>
      </c>
      <c r="O18" s="241"/>
      <c r="P18" s="240"/>
      <c r="Q18" s="240">
        <f t="shared" si="15"/>
        <v>360</v>
      </c>
      <c r="R18" s="240">
        <v>360</v>
      </c>
      <c r="S18" s="240"/>
      <c r="T18" s="242">
        <f t="shared" si="21"/>
        <v>355</v>
      </c>
      <c r="U18" s="243">
        <f t="shared" si="16"/>
        <v>0</v>
      </c>
      <c r="V18" s="243">
        <f t="shared" si="22"/>
        <v>355</v>
      </c>
      <c r="W18" s="243">
        <f t="shared" si="23"/>
        <v>0</v>
      </c>
      <c r="X18" s="243">
        <f t="shared" si="17"/>
        <v>0</v>
      </c>
      <c r="Y18" s="244">
        <v>0</v>
      </c>
      <c r="Z18" s="243">
        <v>0</v>
      </c>
      <c r="AA18" s="243">
        <f t="shared" si="18"/>
        <v>0</v>
      </c>
      <c r="AB18" s="243">
        <v>0</v>
      </c>
      <c r="AC18" s="243">
        <v>0</v>
      </c>
      <c r="AD18" s="243">
        <f t="shared" si="24"/>
        <v>355</v>
      </c>
      <c r="AE18" s="243">
        <f t="shared" si="19"/>
        <v>0</v>
      </c>
      <c r="AF18" s="243">
        <v>0</v>
      </c>
      <c r="AG18" s="243">
        <v>0</v>
      </c>
      <c r="AH18" s="243">
        <f t="shared" si="20"/>
        <v>355</v>
      </c>
      <c r="AI18" s="243">
        <v>355</v>
      </c>
      <c r="AJ18" s="243">
        <v>0</v>
      </c>
      <c r="AK18" s="245">
        <f t="shared" si="6"/>
        <v>0.98611111111111116</v>
      </c>
      <c r="AL18" s="245"/>
      <c r="AM18" s="245">
        <f t="shared" si="1"/>
        <v>0.98611111111111116</v>
      </c>
      <c r="AN18" s="245"/>
      <c r="AO18" s="245"/>
      <c r="AP18" s="245"/>
      <c r="AQ18" s="245"/>
      <c r="AR18" s="245"/>
      <c r="AS18" s="245"/>
      <c r="AT18" s="245"/>
      <c r="AU18" s="245">
        <f t="shared" si="5"/>
        <v>0.98611111111111116</v>
      </c>
      <c r="AV18" s="245"/>
      <c r="AW18" s="245"/>
      <c r="AX18" s="245"/>
      <c r="AY18" s="245">
        <f t="shared" si="3"/>
        <v>0.98611111111111116</v>
      </c>
      <c r="AZ18" s="245">
        <f t="shared" si="3"/>
        <v>0.98611111111111116</v>
      </c>
      <c r="BA18" s="245"/>
    </row>
    <row r="19" spans="1:55" x14ac:dyDescent="0.25">
      <c r="A19" s="165">
        <v>6</v>
      </c>
      <c r="B19" s="171" t="s">
        <v>170</v>
      </c>
      <c r="C19" s="239">
        <f t="shared" si="7"/>
        <v>300</v>
      </c>
      <c r="D19" s="240">
        <f t="shared" si="8"/>
        <v>0</v>
      </c>
      <c r="E19" s="240">
        <f t="shared" si="9"/>
        <v>300</v>
      </c>
      <c r="F19" s="240">
        <f t="shared" si="10"/>
        <v>0</v>
      </c>
      <c r="G19" s="240">
        <f t="shared" si="11"/>
        <v>0</v>
      </c>
      <c r="H19" s="240"/>
      <c r="I19" s="240"/>
      <c r="J19" s="240">
        <f t="shared" si="12"/>
        <v>0</v>
      </c>
      <c r="K19" s="240"/>
      <c r="L19" s="240"/>
      <c r="M19" s="240">
        <f t="shared" si="13"/>
        <v>300</v>
      </c>
      <c r="N19" s="240">
        <f t="shared" si="14"/>
        <v>0</v>
      </c>
      <c r="O19" s="241"/>
      <c r="P19" s="240"/>
      <c r="Q19" s="240">
        <f t="shared" si="15"/>
        <v>300</v>
      </c>
      <c r="R19" s="240">
        <v>300</v>
      </c>
      <c r="S19" s="240"/>
      <c r="T19" s="242">
        <f t="shared" si="21"/>
        <v>273.39400000000001</v>
      </c>
      <c r="U19" s="243">
        <f t="shared" si="16"/>
        <v>0</v>
      </c>
      <c r="V19" s="243">
        <f t="shared" si="22"/>
        <v>273.39400000000001</v>
      </c>
      <c r="W19" s="243">
        <f t="shared" si="23"/>
        <v>0</v>
      </c>
      <c r="X19" s="243">
        <f t="shared" si="17"/>
        <v>0</v>
      </c>
      <c r="Y19" s="244">
        <v>0</v>
      </c>
      <c r="Z19" s="243">
        <v>0</v>
      </c>
      <c r="AA19" s="243">
        <f t="shared" si="18"/>
        <v>0</v>
      </c>
      <c r="AB19" s="243">
        <v>0</v>
      </c>
      <c r="AC19" s="243">
        <v>0</v>
      </c>
      <c r="AD19" s="243">
        <f t="shared" si="24"/>
        <v>273.39400000000001</v>
      </c>
      <c r="AE19" s="243">
        <f t="shared" si="19"/>
        <v>0</v>
      </c>
      <c r="AF19" s="243">
        <v>0</v>
      </c>
      <c r="AG19" s="243">
        <v>0</v>
      </c>
      <c r="AH19" s="243">
        <f t="shared" si="20"/>
        <v>273.39400000000001</v>
      </c>
      <c r="AI19" s="243">
        <v>273.39400000000001</v>
      </c>
      <c r="AJ19" s="243">
        <v>0</v>
      </c>
      <c r="AK19" s="245">
        <f t="shared" si="6"/>
        <v>0.91131333333333331</v>
      </c>
      <c r="AL19" s="245"/>
      <c r="AM19" s="245">
        <f t="shared" si="1"/>
        <v>0.91131333333333331</v>
      </c>
      <c r="AN19" s="245"/>
      <c r="AO19" s="245"/>
      <c r="AP19" s="245"/>
      <c r="AQ19" s="245"/>
      <c r="AR19" s="245"/>
      <c r="AS19" s="245"/>
      <c r="AT19" s="245"/>
      <c r="AU19" s="245">
        <f t="shared" si="5"/>
        <v>0.91131333333333331</v>
      </c>
      <c r="AV19" s="245"/>
      <c r="AW19" s="245"/>
      <c r="AX19" s="245"/>
      <c r="AY19" s="245">
        <f t="shared" si="3"/>
        <v>0.91131333333333331</v>
      </c>
      <c r="AZ19" s="245">
        <f t="shared" si="3"/>
        <v>0.91131333333333331</v>
      </c>
      <c r="BA19" s="245"/>
    </row>
    <row r="20" spans="1:55" x14ac:dyDescent="0.25">
      <c r="A20" s="165">
        <v>7</v>
      </c>
      <c r="B20" s="171" t="s">
        <v>136</v>
      </c>
      <c r="C20" s="239">
        <f t="shared" si="7"/>
        <v>350</v>
      </c>
      <c r="D20" s="240">
        <f t="shared" si="8"/>
        <v>0</v>
      </c>
      <c r="E20" s="240">
        <f t="shared" si="9"/>
        <v>350</v>
      </c>
      <c r="F20" s="240">
        <f t="shared" si="10"/>
        <v>0</v>
      </c>
      <c r="G20" s="240">
        <f t="shared" si="11"/>
        <v>0</v>
      </c>
      <c r="H20" s="240"/>
      <c r="I20" s="240"/>
      <c r="J20" s="240">
        <f t="shared" si="12"/>
        <v>0</v>
      </c>
      <c r="K20" s="240"/>
      <c r="L20" s="240"/>
      <c r="M20" s="240">
        <f t="shared" si="13"/>
        <v>350</v>
      </c>
      <c r="N20" s="240">
        <f t="shared" si="14"/>
        <v>0</v>
      </c>
      <c r="O20" s="241"/>
      <c r="P20" s="240"/>
      <c r="Q20" s="240">
        <f t="shared" si="15"/>
        <v>350</v>
      </c>
      <c r="R20" s="240">
        <v>350</v>
      </c>
      <c r="S20" s="240"/>
      <c r="T20" s="242">
        <f t="shared" si="21"/>
        <v>290.64800000000002</v>
      </c>
      <c r="U20" s="243">
        <f t="shared" si="16"/>
        <v>0</v>
      </c>
      <c r="V20" s="243">
        <f t="shared" si="22"/>
        <v>290.64800000000002</v>
      </c>
      <c r="W20" s="243">
        <f t="shared" si="23"/>
        <v>0</v>
      </c>
      <c r="X20" s="243">
        <f t="shared" si="17"/>
        <v>0</v>
      </c>
      <c r="Y20" s="244">
        <v>0</v>
      </c>
      <c r="Z20" s="243">
        <v>0</v>
      </c>
      <c r="AA20" s="243">
        <f t="shared" si="18"/>
        <v>0</v>
      </c>
      <c r="AB20" s="243">
        <v>0</v>
      </c>
      <c r="AC20" s="243">
        <v>0</v>
      </c>
      <c r="AD20" s="243">
        <f t="shared" si="24"/>
        <v>290.64800000000002</v>
      </c>
      <c r="AE20" s="243">
        <f t="shared" si="19"/>
        <v>0</v>
      </c>
      <c r="AF20" s="243">
        <v>0</v>
      </c>
      <c r="AG20" s="243">
        <v>0</v>
      </c>
      <c r="AH20" s="243">
        <f t="shared" si="20"/>
        <v>290.64800000000002</v>
      </c>
      <c r="AI20" s="243">
        <v>290.64800000000002</v>
      </c>
      <c r="AJ20" s="243">
        <v>0</v>
      </c>
      <c r="AK20" s="245">
        <f t="shared" si="6"/>
        <v>0.83042285714285724</v>
      </c>
      <c r="AL20" s="245"/>
      <c r="AM20" s="245">
        <f t="shared" si="1"/>
        <v>0.83042285714285724</v>
      </c>
      <c r="AN20" s="245"/>
      <c r="AO20" s="245"/>
      <c r="AP20" s="245"/>
      <c r="AQ20" s="245"/>
      <c r="AR20" s="245"/>
      <c r="AS20" s="245"/>
      <c r="AT20" s="245"/>
      <c r="AU20" s="245">
        <f t="shared" si="5"/>
        <v>0.83042285714285724</v>
      </c>
      <c r="AV20" s="245"/>
      <c r="AW20" s="245"/>
      <c r="AX20" s="245"/>
      <c r="AY20" s="245">
        <f t="shared" si="3"/>
        <v>0.83042285714285724</v>
      </c>
      <c r="AZ20" s="245">
        <f t="shared" si="3"/>
        <v>0.83042285714285724</v>
      </c>
      <c r="BA20" s="245"/>
    </row>
    <row r="21" spans="1:55" x14ac:dyDescent="0.25">
      <c r="A21" s="165">
        <v>8</v>
      </c>
      <c r="B21" s="171" t="s">
        <v>308</v>
      </c>
      <c r="C21" s="239">
        <f t="shared" si="7"/>
        <v>500</v>
      </c>
      <c r="D21" s="240">
        <f t="shared" si="8"/>
        <v>0</v>
      </c>
      <c r="E21" s="240">
        <f t="shared" si="9"/>
        <v>500</v>
      </c>
      <c r="F21" s="240">
        <f t="shared" si="10"/>
        <v>0</v>
      </c>
      <c r="G21" s="240">
        <f t="shared" si="11"/>
        <v>0</v>
      </c>
      <c r="H21" s="240"/>
      <c r="I21" s="240"/>
      <c r="J21" s="240">
        <f t="shared" si="12"/>
        <v>0</v>
      </c>
      <c r="K21" s="240"/>
      <c r="L21" s="240"/>
      <c r="M21" s="240">
        <f t="shared" si="13"/>
        <v>500</v>
      </c>
      <c r="N21" s="240">
        <f t="shared" si="14"/>
        <v>0</v>
      </c>
      <c r="O21" s="241"/>
      <c r="P21" s="240"/>
      <c r="Q21" s="240">
        <f t="shared" si="15"/>
        <v>500</v>
      </c>
      <c r="R21" s="240">
        <v>500</v>
      </c>
      <c r="S21" s="240"/>
      <c r="T21" s="242">
        <f t="shared" si="21"/>
        <v>500</v>
      </c>
      <c r="U21" s="243">
        <f t="shared" si="16"/>
        <v>0</v>
      </c>
      <c r="V21" s="243">
        <f t="shared" si="22"/>
        <v>500</v>
      </c>
      <c r="W21" s="243">
        <f t="shared" si="23"/>
        <v>0</v>
      </c>
      <c r="X21" s="243">
        <f t="shared" si="17"/>
        <v>0</v>
      </c>
      <c r="Y21" s="244">
        <v>0</v>
      </c>
      <c r="Z21" s="243">
        <v>0</v>
      </c>
      <c r="AA21" s="243">
        <f t="shared" si="18"/>
        <v>0</v>
      </c>
      <c r="AB21" s="243">
        <v>0</v>
      </c>
      <c r="AC21" s="243">
        <v>0</v>
      </c>
      <c r="AD21" s="243">
        <f t="shared" si="24"/>
        <v>500</v>
      </c>
      <c r="AE21" s="243">
        <f t="shared" si="19"/>
        <v>0</v>
      </c>
      <c r="AF21" s="243">
        <v>0</v>
      </c>
      <c r="AG21" s="243">
        <v>0</v>
      </c>
      <c r="AH21" s="243">
        <f t="shared" si="20"/>
        <v>500</v>
      </c>
      <c r="AI21" s="243">
        <v>500</v>
      </c>
      <c r="AJ21" s="243">
        <v>0</v>
      </c>
      <c r="AK21" s="245">
        <f t="shared" si="6"/>
        <v>1</v>
      </c>
      <c r="AL21" s="245"/>
      <c r="AM21" s="245">
        <f t="shared" si="1"/>
        <v>1</v>
      </c>
      <c r="AN21" s="245"/>
      <c r="AO21" s="245"/>
      <c r="AP21" s="245"/>
      <c r="AQ21" s="245"/>
      <c r="AR21" s="245"/>
      <c r="AS21" s="245"/>
      <c r="AT21" s="245"/>
      <c r="AU21" s="245">
        <f t="shared" si="5"/>
        <v>1</v>
      </c>
      <c r="AV21" s="245"/>
      <c r="AW21" s="245"/>
      <c r="AX21" s="245"/>
      <c r="AY21" s="245">
        <f t="shared" si="3"/>
        <v>1</v>
      </c>
      <c r="AZ21" s="245">
        <f t="shared" si="3"/>
        <v>1</v>
      </c>
      <c r="BA21" s="245"/>
    </row>
    <row r="22" spans="1:55" x14ac:dyDescent="0.25">
      <c r="A22" s="165">
        <v>9</v>
      </c>
      <c r="B22" s="171" t="s">
        <v>137</v>
      </c>
      <c r="C22" s="239">
        <f t="shared" si="7"/>
        <v>3417</v>
      </c>
      <c r="D22" s="240">
        <f t="shared" si="8"/>
        <v>0</v>
      </c>
      <c r="E22" s="240">
        <f t="shared" si="9"/>
        <v>3417</v>
      </c>
      <c r="F22" s="240">
        <f t="shared" si="10"/>
        <v>3417</v>
      </c>
      <c r="G22" s="240">
        <f t="shared" si="11"/>
        <v>0</v>
      </c>
      <c r="H22" s="240"/>
      <c r="I22" s="240"/>
      <c r="J22" s="240">
        <f t="shared" si="12"/>
        <v>3417</v>
      </c>
      <c r="K22" s="240">
        <v>3417</v>
      </c>
      <c r="L22" s="240"/>
      <c r="M22" s="240">
        <f t="shared" si="13"/>
        <v>0</v>
      </c>
      <c r="N22" s="240">
        <f t="shared" si="14"/>
        <v>0</v>
      </c>
      <c r="O22" s="241"/>
      <c r="P22" s="240"/>
      <c r="Q22" s="240">
        <f t="shared" si="15"/>
        <v>0</v>
      </c>
      <c r="R22" s="240"/>
      <c r="S22" s="240"/>
      <c r="T22" s="242">
        <f t="shared" si="21"/>
        <v>3417</v>
      </c>
      <c r="U22" s="243">
        <f t="shared" si="16"/>
        <v>0</v>
      </c>
      <c r="V22" s="243">
        <f t="shared" si="22"/>
        <v>3417</v>
      </c>
      <c r="W22" s="243">
        <f t="shared" si="23"/>
        <v>3417</v>
      </c>
      <c r="X22" s="243">
        <f t="shared" si="17"/>
        <v>0</v>
      </c>
      <c r="Y22" s="244">
        <v>0</v>
      </c>
      <c r="Z22" s="243">
        <v>0</v>
      </c>
      <c r="AA22" s="243">
        <f t="shared" si="18"/>
        <v>3417</v>
      </c>
      <c r="AB22" s="243">
        <v>3417</v>
      </c>
      <c r="AC22" s="243">
        <v>0</v>
      </c>
      <c r="AD22" s="243">
        <f t="shared" si="24"/>
        <v>0</v>
      </c>
      <c r="AE22" s="243">
        <f t="shared" si="19"/>
        <v>0</v>
      </c>
      <c r="AF22" s="243">
        <v>0</v>
      </c>
      <c r="AG22" s="243">
        <v>0</v>
      </c>
      <c r="AH22" s="243">
        <f t="shared" si="20"/>
        <v>0</v>
      </c>
      <c r="AI22" s="243">
        <v>0</v>
      </c>
      <c r="AJ22" s="243">
        <v>0</v>
      </c>
      <c r="AK22" s="245">
        <f t="shared" si="6"/>
        <v>1</v>
      </c>
      <c r="AL22" s="245"/>
      <c r="AM22" s="245">
        <f t="shared" si="1"/>
        <v>1</v>
      </c>
      <c r="AN22" s="245">
        <f>W22/F22</f>
        <v>1</v>
      </c>
      <c r="AO22" s="245"/>
      <c r="AP22" s="245"/>
      <c r="AQ22" s="245"/>
      <c r="AR22" s="245">
        <f>AA22/J22</f>
        <v>1</v>
      </c>
      <c r="AS22" s="245">
        <f>AB22/K22</f>
        <v>1</v>
      </c>
      <c r="AT22" s="245"/>
      <c r="AU22" s="245"/>
      <c r="AV22" s="245"/>
      <c r="AW22" s="245"/>
      <c r="AX22" s="245"/>
      <c r="AY22" s="245"/>
      <c r="AZ22" s="245"/>
      <c r="BA22" s="245"/>
    </row>
    <row r="23" spans="1:55" x14ac:dyDescent="0.25">
      <c r="A23" s="165">
        <v>10</v>
      </c>
      <c r="B23" s="171" t="s">
        <v>309</v>
      </c>
      <c r="C23" s="239">
        <f t="shared" si="7"/>
        <v>314</v>
      </c>
      <c r="D23" s="240">
        <f t="shared" si="8"/>
        <v>0</v>
      </c>
      <c r="E23" s="240">
        <f t="shared" si="9"/>
        <v>314</v>
      </c>
      <c r="F23" s="240">
        <f t="shared" si="10"/>
        <v>314</v>
      </c>
      <c r="G23" s="240">
        <f t="shared" si="11"/>
        <v>0</v>
      </c>
      <c r="H23" s="240"/>
      <c r="I23" s="240"/>
      <c r="J23" s="240">
        <f t="shared" si="12"/>
        <v>314</v>
      </c>
      <c r="K23" s="240">
        <v>314</v>
      </c>
      <c r="L23" s="240"/>
      <c r="M23" s="240">
        <f t="shared" si="13"/>
        <v>0</v>
      </c>
      <c r="N23" s="240">
        <f t="shared" si="14"/>
        <v>0</v>
      </c>
      <c r="O23" s="241"/>
      <c r="P23" s="240"/>
      <c r="Q23" s="240">
        <f t="shared" si="15"/>
        <v>0</v>
      </c>
      <c r="R23" s="240"/>
      <c r="S23" s="240"/>
      <c r="T23" s="242">
        <f t="shared" si="21"/>
        <v>277</v>
      </c>
      <c r="U23" s="243">
        <f t="shared" si="16"/>
        <v>0</v>
      </c>
      <c r="V23" s="243">
        <f t="shared" si="22"/>
        <v>277</v>
      </c>
      <c r="W23" s="243">
        <f t="shared" si="23"/>
        <v>277</v>
      </c>
      <c r="X23" s="243">
        <f t="shared" si="17"/>
        <v>0</v>
      </c>
      <c r="Y23" s="244">
        <v>0</v>
      </c>
      <c r="Z23" s="243">
        <v>0</v>
      </c>
      <c r="AA23" s="243">
        <f t="shared" si="18"/>
        <v>277</v>
      </c>
      <c r="AB23" s="243">
        <v>277</v>
      </c>
      <c r="AC23" s="243">
        <v>0</v>
      </c>
      <c r="AD23" s="243">
        <f t="shared" si="24"/>
        <v>0</v>
      </c>
      <c r="AE23" s="243">
        <f t="shared" si="19"/>
        <v>0</v>
      </c>
      <c r="AF23" s="243">
        <v>0</v>
      </c>
      <c r="AG23" s="243">
        <v>0</v>
      </c>
      <c r="AH23" s="243">
        <f t="shared" si="20"/>
        <v>0</v>
      </c>
      <c r="AI23" s="243">
        <v>0</v>
      </c>
      <c r="AJ23" s="243">
        <v>0</v>
      </c>
      <c r="AK23" s="245">
        <f t="shared" si="6"/>
        <v>0.88216560509554143</v>
      </c>
      <c r="AL23" s="245"/>
      <c r="AM23" s="245">
        <f t="shared" si="1"/>
        <v>0.88216560509554143</v>
      </c>
      <c r="AN23" s="245">
        <f>W23/F23</f>
        <v>0.88216560509554143</v>
      </c>
      <c r="AO23" s="245"/>
      <c r="AP23" s="245"/>
      <c r="AQ23" s="245"/>
      <c r="AR23" s="245">
        <f>AA23/J23</f>
        <v>0.88216560509554143</v>
      </c>
      <c r="AS23" s="245">
        <f>AB23/K23</f>
        <v>0.88216560509554143</v>
      </c>
      <c r="AT23" s="245"/>
      <c r="AU23" s="245"/>
      <c r="AV23" s="245"/>
      <c r="AW23" s="245"/>
      <c r="AX23" s="245"/>
      <c r="AY23" s="245"/>
      <c r="AZ23" s="245"/>
      <c r="BA23" s="245"/>
    </row>
    <row r="24" spans="1:55" x14ac:dyDescent="0.25">
      <c r="A24" s="165">
        <v>11</v>
      </c>
      <c r="B24" s="166" t="s">
        <v>154</v>
      </c>
      <c r="C24" s="239">
        <f t="shared" si="7"/>
        <v>20578</v>
      </c>
      <c r="D24" s="240">
        <f t="shared" si="8"/>
        <v>20578</v>
      </c>
      <c r="E24" s="240">
        <f t="shared" si="9"/>
        <v>0</v>
      </c>
      <c r="F24" s="240">
        <f t="shared" si="10"/>
        <v>20578</v>
      </c>
      <c r="G24" s="240">
        <f t="shared" si="11"/>
        <v>20578</v>
      </c>
      <c r="H24" s="240">
        <v>20578</v>
      </c>
      <c r="I24" s="250"/>
      <c r="J24" s="240">
        <f t="shared" si="12"/>
        <v>0</v>
      </c>
      <c r="K24" s="250"/>
      <c r="L24" s="250"/>
      <c r="M24" s="240">
        <f t="shared" si="13"/>
        <v>0</v>
      </c>
      <c r="N24" s="240">
        <f t="shared" si="14"/>
        <v>0</v>
      </c>
      <c r="O24" s="241"/>
      <c r="P24" s="250"/>
      <c r="Q24" s="240">
        <f t="shared" si="15"/>
        <v>0</v>
      </c>
      <c r="R24" s="250"/>
      <c r="S24" s="250"/>
      <c r="T24" s="242">
        <f t="shared" si="21"/>
        <v>29248.393</v>
      </c>
      <c r="U24" s="243">
        <f t="shared" si="16"/>
        <v>29248.393</v>
      </c>
      <c r="V24" s="243">
        <f t="shared" si="22"/>
        <v>0</v>
      </c>
      <c r="W24" s="243">
        <f t="shared" si="23"/>
        <v>29248.393</v>
      </c>
      <c r="X24" s="243">
        <f t="shared" si="17"/>
        <v>29248.393</v>
      </c>
      <c r="Y24" s="247">
        <v>29248.393</v>
      </c>
      <c r="Z24" s="251"/>
      <c r="AA24" s="251"/>
      <c r="AB24" s="251"/>
      <c r="AC24" s="251"/>
      <c r="AD24" s="247"/>
      <c r="AE24" s="247"/>
      <c r="AF24" s="248"/>
      <c r="AG24" s="251"/>
      <c r="AH24" s="251"/>
      <c r="AI24" s="251"/>
      <c r="AJ24" s="251"/>
      <c r="AK24" s="245">
        <f t="shared" si="6"/>
        <v>1.4213428418699583</v>
      </c>
      <c r="AL24" s="245">
        <f t="shared" ref="AL24:AP40" si="25">U24/D24</f>
        <v>1.4213428418699583</v>
      </c>
      <c r="AM24" s="245"/>
      <c r="AN24" s="249"/>
      <c r="AO24" s="249"/>
      <c r="AP24" s="249"/>
      <c r="AQ24" s="249"/>
      <c r="AR24" s="249"/>
      <c r="AS24" s="249"/>
      <c r="AT24" s="249"/>
      <c r="AU24" s="249"/>
      <c r="AV24" s="249"/>
      <c r="AW24" s="249"/>
      <c r="AX24" s="249"/>
      <c r="AY24" s="249"/>
      <c r="AZ24" s="249"/>
      <c r="BA24" s="249"/>
    </row>
    <row r="25" spans="1:55" x14ac:dyDescent="0.25">
      <c r="A25" s="165">
        <v>12</v>
      </c>
      <c r="B25" s="166" t="s">
        <v>153</v>
      </c>
      <c r="C25" s="239">
        <f t="shared" si="7"/>
        <v>13840.550999999999</v>
      </c>
      <c r="D25" s="240">
        <f t="shared" si="8"/>
        <v>13840.550999999999</v>
      </c>
      <c r="E25" s="240">
        <f t="shared" si="9"/>
        <v>0</v>
      </c>
      <c r="F25" s="240">
        <f t="shared" si="10"/>
        <v>13840.550999999999</v>
      </c>
      <c r="G25" s="240">
        <f t="shared" si="11"/>
        <v>13840.550999999999</v>
      </c>
      <c r="H25" s="240">
        <v>13840.550999999999</v>
      </c>
      <c r="I25" s="250"/>
      <c r="J25" s="240">
        <f t="shared" si="12"/>
        <v>0</v>
      </c>
      <c r="K25" s="250"/>
      <c r="L25" s="250"/>
      <c r="M25" s="240">
        <f t="shared" si="13"/>
        <v>0</v>
      </c>
      <c r="N25" s="240">
        <f t="shared" si="14"/>
        <v>0</v>
      </c>
      <c r="O25" s="241"/>
      <c r="P25" s="250"/>
      <c r="Q25" s="240">
        <f t="shared" si="15"/>
        <v>0</v>
      </c>
      <c r="R25" s="250"/>
      <c r="S25" s="250"/>
      <c r="T25" s="242">
        <f t="shared" si="21"/>
        <v>13840.550999999999</v>
      </c>
      <c r="U25" s="243">
        <f t="shared" si="16"/>
        <v>13840.550999999999</v>
      </c>
      <c r="V25" s="243">
        <f t="shared" si="22"/>
        <v>0</v>
      </c>
      <c r="W25" s="243">
        <f t="shared" si="23"/>
        <v>13840.550999999999</v>
      </c>
      <c r="X25" s="243">
        <f t="shared" si="17"/>
        <v>13840.550999999999</v>
      </c>
      <c r="Y25" s="247">
        <v>13840.550999999999</v>
      </c>
      <c r="Z25" s="251"/>
      <c r="AA25" s="251"/>
      <c r="AB25" s="251"/>
      <c r="AC25" s="251"/>
      <c r="AD25" s="247"/>
      <c r="AE25" s="247"/>
      <c r="AF25" s="248"/>
      <c r="AG25" s="251"/>
      <c r="AH25" s="251"/>
      <c r="AI25" s="251"/>
      <c r="AJ25" s="251"/>
      <c r="AK25" s="245">
        <f t="shared" si="6"/>
        <v>1</v>
      </c>
      <c r="AL25" s="245">
        <f t="shared" si="25"/>
        <v>1</v>
      </c>
      <c r="AM25" s="245"/>
      <c r="AN25" s="249"/>
      <c r="AO25" s="249"/>
      <c r="AP25" s="249"/>
      <c r="AQ25" s="249"/>
      <c r="AR25" s="249"/>
      <c r="AS25" s="249"/>
      <c r="AT25" s="249"/>
      <c r="AU25" s="249"/>
      <c r="AV25" s="249"/>
      <c r="AW25" s="249"/>
      <c r="AX25" s="249"/>
      <c r="AY25" s="249"/>
      <c r="AZ25" s="249"/>
      <c r="BA25" s="249"/>
    </row>
    <row r="26" spans="1:55" x14ac:dyDescent="0.25">
      <c r="A26" s="165">
        <v>13</v>
      </c>
      <c r="B26" s="166" t="s">
        <v>172</v>
      </c>
      <c r="C26" s="239">
        <f t="shared" si="7"/>
        <v>14400</v>
      </c>
      <c r="D26" s="240">
        <f t="shared" si="8"/>
        <v>14400</v>
      </c>
      <c r="E26" s="240">
        <f t="shared" si="9"/>
        <v>0</v>
      </c>
      <c r="F26" s="240">
        <f t="shared" si="10"/>
        <v>14400</v>
      </c>
      <c r="G26" s="240">
        <f t="shared" si="11"/>
        <v>14400</v>
      </c>
      <c r="H26" s="240">
        <v>14400</v>
      </c>
      <c r="I26" s="250"/>
      <c r="J26" s="240">
        <f t="shared" si="12"/>
        <v>0</v>
      </c>
      <c r="K26" s="250"/>
      <c r="L26" s="250"/>
      <c r="M26" s="240">
        <f t="shared" si="13"/>
        <v>0</v>
      </c>
      <c r="N26" s="240">
        <f t="shared" si="14"/>
        <v>0</v>
      </c>
      <c r="O26" s="241"/>
      <c r="P26" s="250"/>
      <c r="Q26" s="240">
        <f t="shared" si="15"/>
        <v>0</v>
      </c>
      <c r="R26" s="250"/>
      <c r="S26" s="250"/>
      <c r="T26" s="242">
        <f t="shared" si="21"/>
        <v>14400</v>
      </c>
      <c r="U26" s="243">
        <f>X26+AE26</f>
        <v>14400</v>
      </c>
      <c r="V26" s="243">
        <f t="shared" si="22"/>
        <v>0</v>
      </c>
      <c r="W26" s="243">
        <f t="shared" si="23"/>
        <v>14400</v>
      </c>
      <c r="X26" s="243">
        <f t="shared" si="17"/>
        <v>14400</v>
      </c>
      <c r="Y26" s="247">
        <v>14400</v>
      </c>
      <c r="Z26" s="251"/>
      <c r="AA26" s="251"/>
      <c r="AB26" s="251"/>
      <c r="AC26" s="251"/>
      <c r="AD26" s="247"/>
      <c r="AE26" s="247"/>
      <c r="AF26" s="248"/>
      <c r="AG26" s="251"/>
      <c r="AH26" s="251"/>
      <c r="AI26" s="251"/>
      <c r="AJ26" s="251"/>
      <c r="AK26" s="245">
        <f t="shared" si="6"/>
        <v>1</v>
      </c>
      <c r="AL26" s="245">
        <f t="shared" si="25"/>
        <v>1</v>
      </c>
      <c r="AM26" s="245"/>
      <c r="AN26" s="249"/>
      <c r="AO26" s="249"/>
      <c r="AP26" s="249"/>
      <c r="AQ26" s="249"/>
      <c r="AR26" s="249"/>
      <c r="AS26" s="249"/>
      <c r="AT26" s="249"/>
      <c r="AU26" s="249"/>
      <c r="AV26" s="249"/>
      <c r="AW26" s="249"/>
      <c r="AX26" s="249"/>
      <c r="AY26" s="249"/>
      <c r="AZ26" s="249"/>
      <c r="BA26" s="249"/>
    </row>
    <row r="27" spans="1:55" x14ac:dyDescent="0.25">
      <c r="A27" s="165">
        <v>14</v>
      </c>
      <c r="B27" s="166" t="s">
        <v>138</v>
      </c>
      <c r="C27" s="239">
        <f t="shared" si="7"/>
        <v>12503.449000000001</v>
      </c>
      <c r="D27" s="240">
        <f t="shared" si="8"/>
        <v>12503.449000000001</v>
      </c>
      <c r="E27" s="240">
        <f t="shared" si="9"/>
        <v>0</v>
      </c>
      <c r="F27" s="240">
        <f t="shared" si="10"/>
        <v>12503.449000000001</v>
      </c>
      <c r="G27" s="240">
        <f t="shared" si="11"/>
        <v>12503.449000000001</v>
      </c>
      <c r="H27" s="240">
        <v>12503.449000000001</v>
      </c>
      <c r="I27" s="250"/>
      <c r="J27" s="240">
        <f t="shared" si="12"/>
        <v>0</v>
      </c>
      <c r="K27" s="250"/>
      <c r="L27" s="250"/>
      <c r="M27" s="240">
        <f t="shared" si="13"/>
        <v>0</v>
      </c>
      <c r="N27" s="240">
        <f t="shared" si="14"/>
        <v>0</v>
      </c>
      <c r="O27" s="241"/>
      <c r="P27" s="250"/>
      <c r="Q27" s="240">
        <f t="shared" si="15"/>
        <v>0</v>
      </c>
      <c r="R27" s="250"/>
      <c r="S27" s="250"/>
      <c r="T27" s="242">
        <f t="shared" si="21"/>
        <v>12503.449000000001</v>
      </c>
      <c r="U27" s="243">
        <f t="shared" si="16"/>
        <v>12503.449000000001</v>
      </c>
      <c r="V27" s="243">
        <f t="shared" si="22"/>
        <v>0</v>
      </c>
      <c r="W27" s="243">
        <f t="shared" si="23"/>
        <v>12503.449000000001</v>
      </c>
      <c r="X27" s="243">
        <f t="shared" si="17"/>
        <v>12503.449000000001</v>
      </c>
      <c r="Y27" s="247">
        <v>12503.449000000001</v>
      </c>
      <c r="Z27" s="251"/>
      <c r="AA27" s="251"/>
      <c r="AB27" s="251"/>
      <c r="AC27" s="251"/>
      <c r="AD27" s="247"/>
      <c r="AE27" s="247"/>
      <c r="AF27" s="248"/>
      <c r="AG27" s="251"/>
      <c r="AH27" s="251"/>
      <c r="AI27" s="251"/>
      <c r="AJ27" s="251"/>
      <c r="AK27" s="252">
        <f t="shared" ref="AK27:AK41" si="26">T27/C27</f>
        <v>1</v>
      </c>
      <c r="AL27" s="245">
        <f t="shared" si="25"/>
        <v>1</v>
      </c>
      <c r="AM27" s="245"/>
      <c r="AN27" s="252">
        <f t="shared" si="25"/>
        <v>1</v>
      </c>
      <c r="AO27" s="252">
        <f t="shared" si="25"/>
        <v>1</v>
      </c>
      <c r="AP27" s="252">
        <f t="shared" si="25"/>
        <v>1</v>
      </c>
      <c r="AQ27" s="252"/>
      <c r="AR27" s="252"/>
      <c r="AS27" s="252"/>
      <c r="AT27" s="252"/>
      <c r="AU27" s="252"/>
      <c r="AV27" s="252"/>
      <c r="AW27" s="252"/>
      <c r="AX27" s="252"/>
      <c r="AY27" s="252"/>
      <c r="AZ27" s="252"/>
      <c r="BA27" s="252"/>
    </row>
    <row r="28" spans="1:55" x14ac:dyDescent="0.25">
      <c r="A28" s="165">
        <v>15</v>
      </c>
      <c r="B28" s="166" t="s">
        <v>171</v>
      </c>
      <c r="C28" s="239">
        <f t="shared" si="7"/>
        <v>41937</v>
      </c>
      <c r="D28" s="240">
        <f t="shared" si="8"/>
        <v>41937</v>
      </c>
      <c r="E28" s="240">
        <f t="shared" si="9"/>
        <v>0</v>
      </c>
      <c r="F28" s="240">
        <f t="shared" si="10"/>
        <v>41937</v>
      </c>
      <c r="G28" s="240">
        <f t="shared" si="11"/>
        <v>41937</v>
      </c>
      <c r="H28" s="240">
        <v>41937</v>
      </c>
      <c r="I28" s="250"/>
      <c r="J28" s="240">
        <f t="shared" si="12"/>
        <v>0</v>
      </c>
      <c r="K28" s="250"/>
      <c r="L28" s="250"/>
      <c r="M28" s="240">
        <f t="shared" si="13"/>
        <v>0</v>
      </c>
      <c r="N28" s="240">
        <f t="shared" si="14"/>
        <v>0</v>
      </c>
      <c r="O28" s="241"/>
      <c r="P28" s="250"/>
      <c r="Q28" s="240">
        <f t="shared" si="15"/>
        <v>0</v>
      </c>
      <c r="R28" s="250"/>
      <c r="S28" s="250"/>
      <c r="T28" s="242">
        <f t="shared" si="21"/>
        <v>36749.083999999995</v>
      </c>
      <c r="U28" s="243">
        <f t="shared" si="16"/>
        <v>36749.083999999995</v>
      </c>
      <c r="V28" s="243">
        <f t="shared" si="22"/>
        <v>0</v>
      </c>
      <c r="W28" s="243">
        <f t="shared" si="23"/>
        <v>36749.083999999995</v>
      </c>
      <c r="X28" s="243">
        <f t="shared" si="17"/>
        <v>36749.083999999995</v>
      </c>
      <c r="Y28" s="247">
        <v>36749.083999999995</v>
      </c>
      <c r="Z28" s="251"/>
      <c r="AA28" s="251"/>
      <c r="AB28" s="251"/>
      <c r="AC28" s="251"/>
      <c r="AD28" s="247"/>
      <c r="AE28" s="247"/>
      <c r="AF28" s="248"/>
      <c r="AG28" s="251"/>
      <c r="AH28" s="251"/>
      <c r="AI28" s="251"/>
      <c r="AJ28" s="251"/>
      <c r="AK28" s="245">
        <f t="shared" si="26"/>
        <v>0.87629262942032082</v>
      </c>
      <c r="AL28" s="245">
        <f t="shared" si="25"/>
        <v>0.87629262942032082</v>
      </c>
      <c r="AM28" s="245"/>
      <c r="AN28" s="245">
        <f t="shared" si="25"/>
        <v>0.87629262942032082</v>
      </c>
      <c r="AO28" s="245">
        <f t="shared" si="25"/>
        <v>0.87629262942032082</v>
      </c>
      <c r="AP28" s="245">
        <f t="shared" si="25"/>
        <v>0.87629262942032082</v>
      </c>
      <c r="AQ28" s="245"/>
      <c r="AR28" s="245"/>
      <c r="AS28" s="245"/>
      <c r="AT28" s="245"/>
      <c r="AU28" s="245"/>
      <c r="AV28" s="245"/>
      <c r="AW28" s="245"/>
      <c r="AX28" s="245"/>
      <c r="AY28" s="245"/>
      <c r="AZ28" s="245"/>
      <c r="BA28" s="245"/>
    </row>
    <row r="29" spans="1:55" x14ac:dyDescent="0.25">
      <c r="A29" s="165">
        <v>16</v>
      </c>
      <c r="B29" s="166" t="s">
        <v>155</v>
      </c>
      <c r="C29" s="239">
        <f t="shared" si="7"/>
        <v>37077</v>
      </c>
      <c r="D29" s="240">
        <f t="shared" si="8"/>
        <v>37077</v>
      </c>
      <c r="E29" s="240">
        <f t="shared" si="9"/>
        <v>0</v>
      </c>
      <c r="F29" s="240">
        <f t="shared" si="10"/>
        <v>37077</v>
      </c>
      <c r="G29" s="240">
        <f t="shared" si="11"/>
        <v>37077</v>
      </c>
      <c r="H29" s="240">
        <v>37077</v>
      </c>
      <c r="I29" s="250"/>
      <c r="J29" s="240">
        <f t="shared" si="12"/>
        <v>0</v>
      </c>
      <c r="K29" s="250"/>
      <c r="L29" s="250"/>
      <c r="M29" s="240">
        <f t="shared" si="13"/>
        <v>0</v>
      </c>
      <c r="N29" s="240">
        <f t="shared" si="14"/>
        <v>0</v>
      </c>
      <c r="O29" s="241"/>
      <c r="P29" s="250"/>
      <c r="Q29" s="240">
        <f t="shared" si="15"/>
        <v>0</v>
      </c>
      <c r="R29" s="250"/>
      <c r="S29" s="250"/>
      <c r="T29" s="242">
        <f t="shared" si="21"/>
        <v>47253.598770000004</v>
      </c>
      <c r="U29" s="243">
        <f t="shared" si="16"/>
        <v>47253.598770000004</v>
      </c>
      <c r="V29" s="243">
        <f t="shared" si="22"/>
        <v>0</v>
      </c>
      <c r="W29" s="243">
        <f t="shared" si="23"/>
        <v>47253.598770000004</v>
      </c>
      <c r="X29" s="243">
        <f t="shared" si="17"/>
        <v>47253.598770000004</v>
      </c>
      <c r="Y29" s="247">
        <v>47253.598770000004</v>
      </c>
      <c r="Z29" s="251"/>
      <c r="AA29" s="251"/>
      <c r="AB29" s="251"/>
      <c r="AC29" s="251"/>
      <c r="AD29" s="247"/>
      <c r="AE29" s="247"/>
      <c r="AF29" s="248"/>
      <c r="AG29" s="251"/>
      <c r="AH29" s="251"/>
      <c r="AI29" s="251"/>
      <c r="AJ29" s="251"/>
      <c r="AK29" s="245">
        <f t="shared" si="26"/>
        <v>1.2744720114896029</v>
      </c>
      <c r="AL29" s="245">
        <f t="shared" si="25"/>
        <v>1.2744720114896029</v>
      </c>
      <c r="AM29" s="245"/>
      <c r="AN29" s="245">
        <f t="shared" si="25"/>
        <v>1.2744720114896029</v>
      </c>
      <c r="AO29" s="245">
        <f t="shared" si="25"/>
        <v>1.2744720114896029</v>
      </c>
      <c r="AP29" s="245">
        <f t="shared" si="25"/>
        <v>1.2744720114896029</v>
      </c>
      <c r="AQ29" s="245"/>
      <c r="AR29" s="245"/>
      <c r="AS29" s="245"/>
      <c r="AT29" s="245"/>
      <c r="AU29" s="245"/>
      <c r="AV29" s="245"/>
      <c r="AW29" s="245"/>
      <c r="AX29" s="245"/>
      <c r="AY29" s="245"/>
      <c r="AZ29" s="245"/>
      <c r="BA29" s="245"/>
    </row>
    <row r="30" spans="1:55" x14ac:dyDescent="0.25">
      <c r="A30" s="165">
        <v>17</v>
      </c>
      <c r="B30" s="171" t="s">
        <v>310</v>
      </c>
      <c r="C30" s="239">
        <f>D30+E30</f>
        <v>3180</v>
      </c>
      <c r="D30" s="240">
        <f>G30+N30</f>
        <v>3180</v>
      </c>
      <c r="E30" s="240">
        <f>J30+Q30</f>
        <v>0</v>
      </c>
      <c r="F30" s="240">
        <f>G30+J30</f>
        <v>0</v>
      </c>
      <c r="G30" s="240">
        <f>H30+I30</f>
        <v>0</v>
      </c>
      <c r="H30" s="240"/>
      <c r="I30" s="250"/>
      <c r="J30" s="240">
        <f>K30+L30</f>
        <v>0</v>
      </c>
      <c r="K30" s="250"/>
      <c r="L30" s="250"/>
      <c r="M30" s="240">
        <f>N30+Q30</f>
        <v>3180</v>
      </c>
      <c r="N30" s="240">
        <f>O30+P30</f>
        <v>3180</v>
      </c>
      <c r="O30" s="241">
        <v>3180</v>
      </c>
      <c r="P30" s="250"/>
      <c r="Q30" s="240">
        <f>R30+S30</f>
        <v>0</v>
      </c>
      <c r="R30" s="250"/>
      <c r="S30" s="250"/>
      <c r="T30" s="242">
        <f>U30+V30</f>
        <v>0</v>
      </c>
      <c r="U30" s="243">
        <f>X30+AE30</f>
        <v>0</v>
      </c>
      <c r="V30" s="243">
        <f>AA30+AH30</f>
        <v>0</v>
      </c>
      <c r="W30" s="243">
        <f>X30+AA30</f>
        <v>0</v>
      </c>
      <c r="X30" s="243">
        <f>Y30+Z30</f>
        <v>0</v>
      </c>
      <c r="Y30" s="247"/>
      <c r="Z30" s="251"/>
      <c r="AA30" s="251"/>
      <c r="AB30" s="251"/>
      <c r="AC30" s="251"/>
      <c r="AD30" s="247"/>
      <c r="AE30" s="247"/>
      <c r="AF30" s="248"/>
      <c r="AG30" s="251"/>
      <c r="AH30" s="251"/>
      <c r="AI30" s="251"/>
      <c r="AJ30" s="251"/>
      <c r="AK30" s="245">
        <f t="shared" si="26"/>
        <v>0</v>
      </c>
      <c r="AL30" s="245"/>
      <c r="AM30" s="245"/>
      <c r="AN30" s="245"/>
      <c r="AO30" s="245"/>
      <c r="AP30" s="245"/>
      <c r="AQ30" s="245"/>
      <c r="AR30" s="245"/>
      <c r="AS30" s="245"/>
      <c r="AT30" s="245"/>
      <c r="AU30" s="245"/>
      <c r="AV30" s="245"/>
      <c r="AW30" s="245"/>
      <c r="AX30" s="245"/>
      <c r="AY30" s="245"/>
      <c r="AZ30" s="245"/>
      <c r="BA30" s="245"/>
    </row>
    <row r="31" spans="1:55" s="254" customFormat="1" x14ac:dyDescent="0.25">
      <c r="A31" s="169" t="s">
        <v>27</v>
      </c>
      <c r="B31" s="172" t="s">
        <v>311</v>
      </c>
      <c r="C31" s="253">
        <f>SUBTOTAL(9,C32:C42)</f>
        <v>504120</v>
      </c>
      <c r="D31" s="236">
        <f t="shared" ref="D31:AJ31" si="27">SUBTOTAL(9,D32:D42)</f>
        <v>369300</v>
      </c>
      <c r="E31" s="236">
        <f t="shared" si="27"/>
        <v>134820</v>
      </c>
      <c r="F31" s="236">
        <f t="shared" si="27"/>
        <v>141620</v>
      </c>
      <c r="G31" s="236">
        <f t="shared" si="27"/>
        <v>88290</v>
      </c>
      <c r="H31" s="236">
        <f t="shared" si="27"/>
        <v>22215</v>
      </c>
      <c r="I31" s="236">
        <f t="shared" si="27"/>
        <v>66075</v>
      </c>
      <c r="J31" s="236">
        <f t="shared" si="27"/>
        <v>53330</v>
      </c>
      <c r="K31" s="236">
        <f t="shared" si="27"/>
        <v>53330</v>
      </c>
      <c r="L31" s="236">
        <f t="shared" si="27"/>
        <v>0</v>
      </c>
      <c r="M31" s="236">
        <f t="shared" si="27"/>
        <v>362500</v>
      </c>
      <c r="N31" s="236">
        <f t="shared" si="27"/>
        <v>281010</v>
      </c>
      <c r="O31" s="236">
        <f t="shared" si="27"/>
        <v>161010</v>
      </c>
      <c r="P31" s="236">
        <f t="shared" si="27"/>
        <v>120000</v>
      </c>
      <c r="Q31" s="236">
        <f t="shared" si="27"/>
        <v>81490</v>
      </c>
      <c r="R31" s="236">
        <f t="shared" si="27"/>
        <v>81490</v>
      </c>
      <c r="S31" s="236">
        <f t="shared" si="27"/>
        <v>0</v>
      </c>
      <c r="T31" s="237">
        <f t="shared" si="27"/>
        <v>524223.48976900004</v>
      </c>
      <c r="U31" s="237">
        <f t="shared" si="27"/>
        <v>395401.50502599997</v>
      </c>
      <c r="V31" s="237">
        <f t="shared" si="27"/>
        <v>128821.98474300001</v>
      </c>
      <c r="W31" s="237">
        <f t="shared" si="27"/>
        <v>156813.84664899998</v>
      </c>
      <c r="X31" s="236">
        <f t="shared" si="27"/>
        <v>105674.18799999999</v>
      </c>
      <c r="Y31" s="236">
        <f t="shared" si="27"/>
        <v>40817.080999999998</v>
      </c>
      <c r="Z31" s="236">
        <f t="shared" si="27"/>
        <v>64857.107000000004</v>
      </c>
      <c r="AA31" s="237">
        <f t="shared" si="27"/>
        <v>51139.658649000005</v>
      </c>
      <c r="AB31" s="237">
        <f t="shared" si="27"/>
        <v>51139.658649000005</v>
      </c>
      <c r="AC31" s="237">
        <f t="shared" si="27"/>
        <v>0</v>
      </c>
      <c r="AD31" s="237">
        <f t="shared" si="27"/>
        <v>367409.64312000002</v>
      </c>
      <c r="AE31" s="237">
        <f t="shared" si="27"/>
        <v>289727.317026</v>
      </c>
      <c r="AF31" s="237">
        <f t="shared" si="27"/>
        <v>171747.95236900004</v>
      </c>
      <c r="AG31" s="237">
        <f t="shared" si="27"/>
        <v>117979.364657</v>
      </c>
      <c r="AH31" s="237">
        <f t="shared" si="27"/>
        <v>77682.326093999989</v>
      </c>
      <c r="AI31" s="237">
        <f t="shared" si="27"/>
        <v>77682.326093999989</v>
      </c>
      <c r="AJ31" s="237">
        <f t="shared" si="27"/>
        <v>0</v>
      </c>
      <c r="AK31" s="238">
        <f t="shared" si="26"/>
        <v>1.0398783816730144</v>
      </c>
      <c r="AL31" s="238">
        <f t="shared" si="25"/>
        <v>1.0706783239263471</v>
      </c>
      <c r="AM31" s="238">
        <f t="shared" si="25"/>
        <v>0.95551093860703162</v>
      </c>
      <c r="AN31" s="238">
        <f t="shared" si="25"/>
        <v>1.1072860235065667</v>
      </c>
      <c r="AO31" s="238">
        <f t="shared" si="25"/>
        <v>1.1968987201268546</v>
      </c>
      <c r="AP31" s="238">
        <f t="shared" si="25"/>
        <v>1.8373657888813864</v>
      </c>
      <c r="AQ31" s="238"/>
      <c r="AR31" s="238">
        <f t="shared" ref="AR31:AS41" si="28">AA31/J31</f>
        <v>0.95892853270204392</v>
      </c>
      <c r="AS31" s="238">
        <f t="shared" si="28"/>
        <v>0.95892853270204392</v>
      </c>
      <c r="AT31" s="238"/>
      <c r="AU31" s="238">
        <f t="shared" ref="AU31:AW41" si="29">AD31/M31</f>
        <v>1.0135438430896553</v>
      </c>
      <c r="AV31" s="238">
        <f t="shared" si="29"/>
        <v>1.0310213765559946</v>
      </c>
      <c r="AW31" s="238">
        <f t="shared" si="29"/>
        <v>1.0666912140177631</v>
      </c>
      <c r="AX31" s="238"/>
      <c r="AY31" s="238">
        <f t="shared" ref="AY31:AZ41" si="30">AH31/Q31</f>
        <v>0.95327434156338187</v>
      </c>
      <c r="AZ31" s="238">
        <f t="shared" si="30"/>
        <v>0.95327434156338187</v>
      </c>
      <c r="BA31" s="238"/>
    </row>
    <row r="32" spans="1:55" x14ac:dyDescent="0.25">
      <c r="A32" s="165">
        <v>1</v>
      </c>
      <c r="B32" s="166" t="s">
        <v>140</v>
      </c>
      <c r="C32" s="239">
        <f>D32+E32</f>
        <v>10204</v>
      </c>
      <c r="D32" s="240">
        <f>G32+N32</f>
        <v>5077</v>
      </c>
      <c r="E32" s="240">
        <f>J32+Q32</f>
        <v>5127</v>
      </c>
      <c r="F32" s="240">
        <f>G32+J32</f>
        <v>4306</v>
      </c>
      <c r="G32" s="240">
        <f>H32+I32</f>
        <v>2818</v>
      </c>
      <c r="H32" s="240"/>
      <c r="I32" s="240">
        <f>2818</f>
        <v>2818</v>
      </c>
      <c r="J32" s="240">
        <f>K32+L32</f>
        <v>1488</v>
      </c>
      <c r="K32" s="240">
        <v>1488</v>
      </c>
      <c r="L32" s="240"/>
      <c r="M32" s="240">
        <f>N32+Q32</f>
        <v>5898</v>
      </c>
      <c r="N32" s="240">
        <f>O32+P32</f>
        <v>2259</v>
      </c>
      <c r="O32" s="240">
        <f>1139</f>
        <v>1139</v>
      </c>
      <c r="P32" s="240">
        <v>1120</v>
      </c>
      <c r="Q32" s="240">
        <f>R32+S32</f>
        <v>3639</v>
      </c>
      <c r="R32" s="240">
        <v>3639</v>
      </c>
      <c r="S32" s="240"/>
      <c r="T32" s="242">
        <f t="shared" ref="T32:T41" si="31">U32+V32</f>
        <v>8610.3853510000008</v>
      </c>
      <c r="U32" s="243">
        <f>X32+AE32</f>
        <v>4863.2721369999999</v>
      </c>
      <c r="V32" s="243">
        <f>AA32+AH32</f>
        <v>3747.113214</v>
      </c>
      <c r="W32" s="243">
        <f t="shared" ref="W32:W41" si="32">X32+AA32</f>
        <v>4268.8339999999998</v>
      </c>
      <c r="X32" s="240">
        <f>Y32+Z32</f>
        <v>2812.8339999999998</v>
      </c>
      <c r="Y32" s="240"/>
      <c r="Z32" s="240">
        <v>2812.8339999999998</v>
      </c>
      <c r="AA32" s="247">
        <f>AB32+AC32</f>
        <v>1456</v>
      </c>
      <c r="AB32" s="240">
        <f>1454+2</f>
        <v>1456</v>
      </c>
      <c r="AC32" s="247">
        <v>0</v>
      </c>
      <c r="AD32" s="247">
        <f>AE32+AH32</f>
        <v>4341.5513510000001</v>
      </c>
      <c r="AE32" s="247">
        <f>AF32+AG32</f>
        <v>2050.4381370000001</v>
      </c>
      <c r="AF32" s="248">
        <v>1004.525661</v>
      </c>
      <c r="AG32" s="247">
        <v>1045.912476</v>
      </c>
      <c r="AH32" s="243">
        <f t="shared" ref="AH32:AH41" si="33">AI32+AJ32</f>
        <v>2291.113214</v>
      </c>
      <c r="AI32" s="247">
        <v>2291.113214</v>
      </c>
      <c r="AJ32" s="247">
        <v>0</v>
      </c>
      <c r="AK32" s="245">
        <f t="shared" si="26"/>
        <v>0.84382451499412003</v>
      </c>
      <c r="AL32" s="245">
        <f t="shared" si="25"/>
        <v>0.9579027254284026</v>
      </c>
      <c r="AM32" s="245">
        <f t="shared" si="25"/>
        <v>0.7308588285547104</v>
      </c>
      <c r="AN32" s="245">
        <f t="shared" si="25"/>
        <v>0.99136878773803994</v>
      </c>
      <c r="AO32" s="245">
        <f t="shared" si="25"/>
        <v>0.9981667849538679</v>
      </c>
      <c r="AP32" s="245"/>
      <c r="AQ32" s="245"/>
      <c r="AR32" s="245">
        <f t="shared" si="28"/>
        <v>0.978494623655914</v>
      </c>
      <c r="AS32" s="245">
        <f t="shared" si="28"/>
        <v>0.978494623655914</v>
      </c>
      <c r="AT32" s="245"/>
      <c r="AU32" s="245">
        <f t="shared" si="29"/>
        <v>0.73610568853848768</v>
      </c>
      <c r="AV32" s="245">
        <f t="shared" si="29"/>
        <v>0.90767513811420986</v>
      </c>
      <c r="AW32" s="245">
        <f t="shared" si="29"/>
        <v>0.88193648902546096</v>
      </c>
      <c r="AX32" s="245"/>
      <c r="AY32" s="245">
        <f t="shared" si="30"/>
        <v>0.62959967408628748</v>
      </c>
      <c r="AZ32" s="245">
        <f t="shared" si="30"/>
        <v>0.62959967408628748</v>
      </c>
      <c r="BA32" s="245"/>
      <c r="BC32" s="246"/>
    </row>
    <row r="33" spans="1:55" x14ac:dyDescent="0.25">
      <c r="A33" s="165">
        <v>2</v>
      </c>
      <c r="B33" s="166" t="s">
        <v>139</v>
      </c>
      <c r="C33" s="239">
        <f t="shared" ref="C33:C41" si="34">D33+E33</f>
        <v>27419</v>
      </c>
      <c r="D33" s="240">
        <f t="shared" ref="D33:D41" si="35">G33+N33</f>
        <v>19244</v>
      </c>
      <c r="E33" s="240">
        <f t="shared" ref="E33:E41" si="36">J33+Q33</f>
        <v>8175</v>
      </c>
      <c r="F33" s="240">
        <f t="shared" ref="F33:F41" si="37">G33+J33</f>
        <v>9001</v>
      </c>
      <c r="G33" s="240">
        <f t="shared" ref="G33:G41" si="38">H33+I33</f>
        <v>6205</v>
      </c>
      <c r="H33" s="240"/>
      <c r="I33" s="240">
        <f>3916+2289</f>
        <v>6205</v>
      </c>
      <c r="J33" s="240">
        <f t="shared" ref="J33:J41" si="39">K33+L33</f>
        <v>2796</v>
      </c>
      <c r="K33" s="240">
        <v>2796</v>
      </c>
      <c r="L33" s="240"/>
      <c r="M33" s="240">
        <f t="shared" ref="M33:M41" si="40">N33+Q33</f>
        <v>18418</v>
      </c>
      <c r="N33" s="240">
        <f t="shared" ref="N33:N41" si="41">O33+P33</f>
        <v>13039</v>
      </c>
      <c r="O33" s="240">
        <f>6539</f>
        <v>6539</v>
      </c>
      <c r="P33" s="240">
        <v>6500</v>
      </c>
      <c r="Q33" s="240">
        <f t="shared" ref="Q33:Q41" si="42">R33+S33</f>
        <v>5379</v>
      </c>
      <c r="R33" s="240">
        <v>5379</v>
      </c>
      <c r="S33" s="240"/>
      <c r="T33" s="242">
        <f t="shared" si="31"/>
        <v>28819.689087999999</v>
      </c>
      <c r="U33" s="243">
        <f t="shared" ref="U33:U41" si="43">X33+AE33</f>
        <v>21105.769130000001</v>
      </c>
      <c r="V33" s="243">
        <f t="shared" ref="V33:V41" si="44">AA33+AH33</f>
        <v>7713.9199580000004</v>
      </c>
      <c r="W33" s="243">
        <f t="shared" si="32"/>
        <v>8896.8184970000002</v>
      </c>
      <c r="X33" s="240">
        <f t="shared" ref="X33:X41" si="45">Y33+Z33</f>
        <v>6152</v>
      </c>
      <c r="Y33" s="240">
        <v>141.85599999999999</v>
      </c>
      <c r="Z33" s="240">
        <f>6152-141.856</f>
        <v>6010.1440000000002</v>
      </c>
      <c r="AA33" s="247">
        <f t="shared" ref="AA33:AA41" si="46">AB33+AC33</f>
        <v>2744.8184970000002</v>
      </c>
      <c r="AB33" s="240">
        <v>2744.8184970000002</v>
      </c>
      <c r="AC33" s="247">
        <v>0</v>
      </c>
      <c r="AD33" s="247">
        <f t="shared" ref="AD33:AD41" si="47">AE33+AH33</f>
        <v>19922.870590999999</v>
      </c>
      <c r="AE33" s="247">
        <f t="shared" ref="AE33:AE41" si="48">AF33+AG33</f>
        <v>14953.769130000001</v>
      </c>
      <c r="AF33" s="248">
        <v>8453.7691300000006</v>
      </c>
      <c r="AG33" s="247">
        <v>6500</v>
      </c>
      <c r="AH33" s="243">
        <f t="shared" si="33"/>
        <v>4969.1014610000002</v>
      </c>
      <c r="AI33" s="240">
        <v>4969.1014610000002</v>
      </c>
      <c r="AJ33" s="247">
        <v>0</v>
      </c>
      <c r="AK33" s="245">
        <f t="shared" si="26"/>
        <v>1.0510846160691492</v>
      </c>
      <c r="AL33" s="245">
        <f t="shared" si="25"/>
        <v>1.0967454339014757</v>
      </c>
      <c r="AM33" s="245">
        <f t="shared" si="25"/>
        <v>0.9435987716207952</v>
      </c>
      <c r="AN33" s="245">
        <f t="shared" si="25"/>
        <v>0.9884255634929453</v>
      </c>
      <c r="AO33" s="245">
        <f t="shared" si="25"/>
        <v>0.99145850120870271</v>
      </c>
      <c r="AP33" s="245"/>
      <c r="AQ33" s="245"/>
      <c r="AR33" s="245">
        <f t="shared" si="28"/>
        <v>0.98169474141630908</v>
      </c>
      <c r="AS33" s="245">
        <f t="shared" si="28"/>
        <v>0.98169474141630908</v>
      </c>
      <c r="AT33" s="245"/>
      <c r="AU33" s="245">
        <f t="shared" si="29"/>
        <v>1.0817065148767508</v>
      </c>
      <c r="AV33" s="245">
        <f t="shared" si="29"/>
        <v>1.1468493849221566</v>
      </c>
      <c r="AW33" s="245">
        <f t="shared" si="29"/>
        <v>1.292822928582352</v>
      </c>
      <c r="AX33" s="245"/>
      <c r="AY33" s="245">
        <f t="shared" si="30"/>
        <v>0.92379651626696413</v>
      </c>
      <c r="AZ33" s="245">
        <f t="shared" si="30"/>
        <v>0.92379651626696413</v>
      </c>
      <c r="BA33" s="245"/>
      <c r="BC33" s="246"/>
    </row>
    <row r="34" spans="1:55" x14ac:dyDescent="0.25">
      <c r="A34" s="165">
        <v>3</v>
      </c>
      <c r="B34" s="166" t="s">
        <v>141</v>
      </c>
      <c r="C34" s="239">
        <f t="shared" si="34"/>
        <v>28598</v>
      </c>
      <c r="D34" s="240">
        <f t="shared" si="35"/>
        <v>20869</v>
      </c>
      <c r="E34" s="240">
        <f t="shared" si="36"/>
        <v>7729</v>
      </c>
      <c r="F34" s="240">
        <f t="shared" si="37"/>
        <v>7078</v>
      </c>
      <c r="G34" s="240">
        <f t="shared" si="38"/>
        <v>4972</v>
      </c>
      <c r="H34" s="240"/>
      <c r="I34" s="240">
        <f>3916+1056</f>
        <v>4972</v>
      </c>
      <c r="J34" s="240">
        <f t="shared" si="39"/>
        <v>2106</v>
      </c>
      <c r="K34" s="240">
        <v>2106</v>
      </c>
      <c r="L34" s="240"/>
      <c r="M34" s="240">
        <f t="shared" si="40"/>
        <v>21520</v>
      </c>
      <c r="N34" s="240">
        <f t="shared" si="41"/>
        <v>15897</v>
      </c>
      <c r="O34" s="240">
        <f>7947</f>
        <v>7947</v>
      </c>
      <c r="P34" s="240">
        <v>7950</v>
      </c>
      <c r="Q34" s="240">
        <f t="shared" si="42"/>
        <v>5623</v>
      </c>
      <c r="R34" s="240">
        <v>5623</v>
      </c>
      <c r="S34" s="240"/>
      <c r="T34" s="242">
        <f t="shared" si="31"/>
        <v>29212.401357999999</v>
      </c>
      <c r="U34" s="243">
        <f t="shared" si="43"/>
        <v>21518.327094</v>
      </c>
      <c r="V34" s="243">
        <f t="shared" si="44"/>
        <v>7694.0742639999999</v>
      </c>
      <c r="W34" s="243">
        <f t="shared" si="32"/>
        <v>7044.5002640000002</v>
      </c>
      <c r="X34" s="240">
        <f t="shared" si="45"/>
        <v>4971.1970000000001</v>
      </c>
      <c r="Y34" s="240">
        <v>8.7309999999999999</v>
      </c>
      <c r="Z34" s="240">
        <f>4971.197-8.731</f>
        <v>4962.4660000000003</v>
      </c>
      <c r="AA34" s="247">
        <f t="shared" si="46"/>
        <v>2073.3032640000001</v>
      </c>
      <c r="AB34" s="240">
        <v>2073.3032640000001</v>
      </c>
      <c r="AC34" s="247">
        <v>0</v>
      </c>
      <c r="AD34" s="247">
        <f t="shared" si="47"/>
        <v>22167.901094000001</v>
      </c>
      <c r="AE34" s="247">
        <f t="shared" si="48"/>
        <v>16547.130094</v>
      </c>
      <c r="AF34" s="248">
        <v>8617.9570939999994</v>
      </c>
      <c r="AG34" s="247">
        <v>7929.1729999999998</v>
      </c>
      <c r="AH34" s="243">
        <f t="shared" si="33"/>
        <v>5620.7709999999997</v>
      </c>
      <c r="AI34" s="240">
        <v>5620.7709999999997</v>
      </c>
      <c r="AJ34" s="247">
        <v>0</v>
      </c>
      <c r="AK34" s="245">
        <f t="shared" si="26"/>
        <v>1.0214840673473669</v>
      </c>
      <c r="AL34" s="245">
        <f t="shared" si="25"/>
        <v>1.031114432603383</v>
      </c>
      <c r="AM34" s="245">
        <f t="shared" si="25"/>
        <v>0.99548120895329273</v>
      </c>
      <c r="AN34" s="245">
        <f t="shared" si="25"/>
        <v>0.99526706188188763</v>
      </c>
      <c r="AO34" s="245">
        <f t="shared" si="25"/>
        <v>0.99983849557522131</v>
      </c>
      <c r="AP34" s="245"/>
      <c r="AQ34" s="245"/>
      <c r="AR34" s="245">
        <f t="shared" si="28"/>
        <v>0.98447448433048435</v>
      </c>
      <c r="AS34" s="245">
        <f t="shared" si="28"/>
        <v>0.98447448433048435</v>
      </c>
      <c r="AT34" s="245"/>
      <c r="AU34" s="245">
        <f t="shared" si="29"/>
        <v>1.0301069281598514</v>
      </c>
      <c r="AV34" s="245">
        <f t="shared" si="29"/>
        <v>1.0408964014593949</v>
      </c>
      <c r="AW34" s="245">
        <f t="shared" si="29"/>
        <v>1.0844289787341135</v>
      </c>
      <c r="AX34" s="245"/>
      <c r="AY34" s="245">
        <f t="shared" si="30"/>
        <v>0.99960359238840468</v>
      </c>
      <c r="AZ34" s="245">
        <f t="shared" si="30"/>
        <v>0.99960359238840468</v>
      </c>
      <c r="BA34" s="245"/>
      <c r="BC34" s="246"/>
    </row>
    <row r="35" spans="1:55" x14ac:dyDescent="0.25">
      <c r="A35" s="165">
        <v>4</v>
      </c>
      <c r="B35" s="166" t="s">
        <v>142</v>
      </c>
      <c r="C35" s="239">
        <f t="shared" si="34"/>
        <v>40104</v>
      </c>
      <c r="D35" s="240">
        <f t="shared" si="35"/>
        <v>29837</v>
      </c>
      <c r="E35" s="240">
        <f t="shared" si="36"/>
        <v>10267</v>
      </c>
      <c r="F35" s="240">
        <f t="shared" si="37"/>
        <v>6384</v>
      </c>
      <c r="G35" s="240">
        <f t="shared" si="38"/>
        <v>4502</v>
      </c>
      <c r="H35" s="240"/>
      <c r="I35" s="240">
        <f>4502</f>
        <v>4502</v>
      </c>
      <c r="J35" s="240">
        <f t="shared" si="39"/>
        <v>1882</v>
      </c>
      <c r="K35" s="240">
        <v>1882</v>
      </c>
      <c r="L35" s="240"/>
      <c r="M35" s="240">
        <f t="shared" si="40"/>
        <v>33720</v>
      </c>
      <c r="N35" s="240">
        <f t="shared" si="41"/>
        <v>25335</v>
      </c>
      <c r="O35" s="240">
        <v>12685</v>
      </c>
      <c r="P35" s="240">
        <v>12650</v>
      </c>
      <c r="Q35" s="240">
        <f t="shared" si="42"/>
        <v>8385</v>
      </c>
      <c r="R35" s="240">
        <v>8385</v>
      </c>
      <c r="S35" s="240"/>
      <c r="T35" s="242">
        <f t="shared" si="31"/>
        <v>39810.102703000004</v>
      </c>
      <c r="U35" s="243">
        <f t="shared" si="43"/>
        <v>29886.291703000003</v>
      </c>
      <c r="V35" s="243">
        <f t="shared" si="44"/>
        <v>9923.8109999999997</v>
      </c>
      <c r="W35" s="243">
        <f t="shared" si="32"/>
        <v>6346.9329999999991</v>
      </c>
      <c r="X35" s="240">
        <f t="shared" si="45"/>
        <v>4476.2329999999993</v>
      </c>
      <c r="Y35" s="240">
        <v>53.311</v>
      </c>
      <c r="Z35" s="240">
        <v>4422.9219999999996</v>
      </c>
      <c r="AA35" s="247">
        <f t="shared" si="46"/>
        <v>1870.7</v>
      </c>
      <c r="AB35" s="240">
        <v>1870.7</v>
      </c>
      <c r="AC35" s="247">
        <v>0</v>
      </c>
      <c r="AD35" s="247">
        <f t="shared" si="47"/>
        <v>33463.169703</v>
      </c>
      <c r="AE35" s="247">
        <f t="shared" si="48"/>
        <v>25410.058703000002</v>
      </c>
      <c r="AF35" s="248">
        <v>13047.281703000001</v>
      </c>
      <c r="AG35" s="247">
        <v>12362.777</v>
      </c>
      <c r="AH35" s="243">
        <f t="shared" si="33"/>
        <v>8053.1109999999999</v>
      </c>
      <c r="AI35" s="240">
        <v>8053.1109999999999</v>
      </c>
      <c r="AJ35" s="247">
        <v>0</v>
      </c>
      <c r="AK35" s="245">
        <f t="shared" si="26"/>
        <v>0.99267162135946552</v>
      </c>
      <c r="AL35" s="245">
        <f t="shared" si="25"/>
        <v>1.0016520328116099</v>
      </c>
      <c r="AM35" s="245">
        <f t="shared" si="25"/>
        <v>0.96657358527320536</v>
      </c>
      <c r="AN35" s="245">
        <f t="shared" si="25"/>
        <v>0.99419376566416029</v>
      </c>
      <c r="AO35" s="245">
        <f t="shared" si="25"/>
        <v>0.99427654375832952</v>
      </c>
      <c r="AP35" s="245"/>
      <c r="AQ35" s="245"/>
      <c r="AR35" s="245">
        <f t="shared" si="28"/>
        <v>0.99399574920297562</v>
      </c>
      <c r="AS35" s="245">
        <f t="shared" si="28"/>
        <v>0.99399574920297562</v>
      </c>
      <c r="AT35" s="245"/>
      <c r="AU35" s="245">
        <f t="shared" si="29"/>
        <v>0.99238344314946614</v>
      </c>
      <c r="AV35" s="245">
        <f t="shared" si="29"/>
        <v>1.0029626486283798</v>
      </c>
      <c r="AW35" s="245">
        <f t="shared" si="29"/>
        <v>1.0285598504532913</v>
      </c>
      <c r="AX35" s="245"/>
      <c r="AY35" s="245">
        <f t="shared" si="30"/>
        <v>0.96041872391174721</v>
      </c>
      <c r="AZ35" s="245">
        <f t="shared" si="30"/>
        <v>0.96041872391174721</v>
      </c>
      <c r="BA35" s="245"/>
    </row>
    <row r="36" spans="1:55" x14ac:dyDescent="0.25">
      <c r="A36" s="165">
        <v>5</v>
      </c>
      <c r="B36" s="166" t="s">
        <v>154</v>
      </c>
      <c r="C36" s="239">
        <f t="shared" si="34"/>
        <v>113463</v>
      </c>
      <c r="D36" s="240">
        <f t="shared" si="35"/>
        <v>83274</v>
      </c>
      <c r="E36" s="240">
        <f t="shared" si="36"/>
        <v>30189</v>
      </c>
      <c r="F36" s="240">
        <f t="shared" si="37"/>
        <v>48555</v>
      </c>
      <c r="G36" s="240">
        <f t="shared" si="38"/>
        <v>33711</v>
      </c>
      <c r="H36" s="240">
        <f>33711+20578-I36-H24</f>
        <v>22215</v>
      </c>
      <c r="I36" s="250">
        <f>11496</f>
        <v>11496</v>
      </c>
      <c r="J36" s="240">
        <f t="shared" si="39"/>
        <v>14844</v>
      </c>
      <c r="K36" s="240">
        <v>14844</v>
      </c>
      <c r="L36" s="250"/>
      <c r="M36" s="240">
        <f t="shared" si="40"/>
        <v>64908</v>
      </c>
      <c r="N36" s="240">
        <f t="shared" si="41"/>
        <v>49563</v>
      </c>
      <c r="O36" s="240">
        <f>24813</f>
        <v>24813</v>
      </c>
      <c r="P36" s="250">
        <v>24750</v>
      </c>
      <c r="Q36" s="240">
        <f t="shared" si="42"/>
        <v>15345</v>
      </c>
      <c r="R36" s="240">
        <v>15345</v>
      </c>
      <c r="S36" s="250"/>
      <c r="T36" s="242">
        <f t="shared" si="31"/>
        <v>124685.81051900001</v>
      </c>
      <c r="U36" s="243">
        <f t="shared" si="43"/>
        <v>95126.717000000004</v>
      </c>
      <c r="V36" s="243">
        <f t="shared" si="44"/>
        <v>29559.093519000002</v>
      </c>
      <c r="W36" s="243">
        <f t="shared" si="32"/>
        <v>59880.860410000001</v>
      </c>
      <c r="X36" s="240">
        <f t="shared" si="45"/>
        <v>45622.870999999999</v>
      </c>
      <c r="Y36" s="240">
        <f>194.767+29248.393+22166.318+9107.991+2669.81-Y24</f>
        <v>34138.885999999999</v>
      </c>
      <c r="Z36" s="250">
        <f>11678.752-194.767</f>
        <v>11483.985000000001</v>
      </c>
      <c r="AA36" s="247">
        <f t="shared" si="46"/>
        <v>14257.98941</v>
      </c>
      <c r="AB36" s="251">
        <v>14257.98941</v>
      </c>
      <c r="AC36" s="251">
        <v>0</v>
      </c>
      <c r="AD36" s="247">
        <f t="shared" si="47"/>
        <v>64804.950109000005</v>
      </c>
      <c r="AE36" s="247">
        <f t="shared" si="48"/>
        <v>49503.846000000005</v>
      </c>
      <c r="AF36" s="248">
        <v>24795.594000000001</v>
      </c>
      <c r="AG36" s="251">
        <v>24708.252</v>
      </c>
      <c r="AH36" s="243">
        <f t="shared" si="33"/>
        <v>15301.104109</v>
      </c>
      <c r="AI36" s="251">
        <v>15301.104109</v>
      </c>
      <c r="AJ36" s="251">
        <v>0</v>
      </c>
      <c r="AK36" s="245">
        <f t="shared" si="26"/>
        <v>1.0989116321532131</v>
      </c>
      <c r="AL36" s="245">
        <f t="shared" si="25"/>
        <v>1.142333945769388</v>
      </c>
      <c r="AM36" s="245">
        <f t="shared" si="25"/>
        <v>0.979134569512074</v>
      </c>
      <c r="AN36" s="245">
        <f t="shared" si="25"/>
        <v>1.2332583752445681</v>
      </c>
      <c r="AO36" s="245">
        <f t="shared" si="25"/>
        <v>1.3533526445373913</v>
      </c>
      <c r="AP36" s="245"/>
      <c r="AQ36" s="245"/>
      <c r="AR36" s="245">
        <f t="shared" si="28"/>
        <v>0.96052205672325519</v>
      </c>
      <c r="AS36" s="245">
        <f t="shared" si="28"/>
        <v>0.96052205672325519</v>
      </c>
      <c r="AT36" s="245"/>
      <c r="AU36" s="245">
        <f t="shared" si="29"/>
        <v>0.99841236995439708</v>
      </c>
      <c r="AV36" s="245">
        <f t="shared" si="29"/>
        <v>0.99880648871133715</v>
      </c>
      <c r="AW36" s="245">
        <f t="shared" si="29"/>
        <v>0.99929851287631488</v>
      </c>
      <c r="AX36" s="245"/>
      <c r="AY36" s="245">
        <f t="shared" si="30"/>
        <v>0.99713940104268495</v>
      </c>
      <c r="AZ36" s="245">
        <f t="shared" si="30"/>
        <v>0.99713940104268495</v>
      </c>
      <c r="BA36" s="245"/>
    </row>
    <row r="37" spans="1:55" x14ac:dyDescent="0.25">
      <c r="A37" s="165">
        <v>6</v>
      </c>
      <c r="B37" s="166" t="s">
        <v>153</v>
      </c>
      <c r="C37" s="239">
        <f t="shared" si="34"/>
        <v>76883.448999999993</v>
      </c>
      <c r="D37" s="240">
        <f t="shared" si="35"/>
        <v>60939.449000000001</v>
      </c>
      <c r="E37" s="240">
        <f t="shared" si="36"/>
        <v>15944</v>
      </c>
      <c r="F37" s="240">
        <f t="shared" si="37"/>
        <v>14894.449000000001</v>
      </c>
      <c r="G37" s="240">
        <f t="shared" si="38"/>
        <v>10614.449000000001</v>
      </c>
      <c r="H37" s="240">
        <f>10614+13841-I37-H25</f>
        <v>0.44900000000052387</v>
      </c>
      <c r="I37" s="250">
        <f>9153+1461</f>
        <v>10614</v>
      </c>
      <c r="J37" s="240">
        <f t="shared" si="39"/>
        <v>4280</v>
      </c>
      <c r="K37" s="240">
        <v>4280</v>
      </c>
      <c r="L37" s="250"/>
      <c r="M37" s="240">
        <f t="shared" si="40"/>
        <v>61989</v>
      </c>
      <c r="N37" s="240">
        <f t="shared" si="41"/>
        <v>50325</v>
      </c>
      <c r="O37" s="240">
        <v>32025</v>
      </c>
      <c r="P37" s="250">
        <v>18300</v>
      </c>
      <c r="Q37" s="240">
        <f t="shared" si="42"/>
        <v>11664</v>
      </c>
      <c r="R37" s="240">
        <v>11664</v>
      </c>
      <c r="S37" s="250"/>
      <c r="T37" s="242">
        <f t="shared" si="31"/>
        <v>83283.56236299999</v>
      </c>
      <c r="U37" s="243">
        <f t="shared" si="43"/>
        <v>68046.769833999992</v>
      </c>
      <c r="V37" s="243">
        <f t="shared" si="44"/>
        <v>15236.792529</v>
      </c>
      <c r="W37" s="243">
        <f t="shared" si="32"/>
        <v>14559.859979000001</v>
      </c>
      <c r="X37" s="240">
        <f t="shared" si="45"/>
        <v>10620.26</v>
      </c>
      <c r="Y37" s="240">
        <f>48.98+13840.551-Y25</f>
        <v>48.979999999999563</v>
      </c>
      <c r="Z37" s="250">
        <f>10620.26-48.98</f>
        <v>10571.28</v>
      </c>
      <c r="AA37" s="247">
        <f t="shared" si="46"/>
        <v>3939.5999790000001</v>
      </c>
      <c r="AB37" s="251">
        <v>3939.5999790000001</v>
      </c>
      <c r="AC37" s="251">
        <v>0</v>
      </c>
      <c r="AD37" s="247">
        <f t="shared" si="47"/>
        <v>68723.702384000004</v>
      </c>
      <c r="AE37" s="247">
        <f t="shared" si="48"/>
        <v>57426.509833999997</v>
      </c>
      <c r="AF37" s="248">
        <v>39137.301078999997</v>
      </c>
      <c r="AG37" s="251">
        <v>18289.208755</v>
      </c>
      <c r="AH37" s="243">
        <f t="shared" si="33"/>
        <v>11297.19255</v>
      </c>
      <c r="AI37" s="251">
        <v>11297.19255</v>
      </c>
      <c r="AJ37" s="251">
        <v>0</v>
      </c>
      <c r="AK37" s="245">
        <f t="shared" si="26"/>
        <v>1.0832443581322684</v>
      </c>
      <c r="AL37" s="245">
        <f t="shared" si="25"/>
        <v>1.116629227054547</v>
      </c>
      <c r="AM37" s="245">
        <f t="shared" si="25"/>
        <v>0.95564428807074764</v>
      </c>
      <c r="AN37" s="245">
        <f t="shared" si="25"/>
        <v>0.97753599203300512</v>
      </c>
      <c r="AO37" s="245">
        <f t="shared" si="25"/>
        <v>1.0005474612954472</v>
      </c>
      <c r="AP37" s="245"/>
      <c r="AQ37" s="245"/>
      <c r="AR37" s="245">
        <f t="shared" si="28"/>
        <v>0.92046728481308415</v>
      </c>
      <c r="AS37" s="245">
        <f t="shared" si="28"/>
        <v>0.92046728481308415</v>
      </c>
      <c r="AT37" s="245"/>
      <c r="AU37" s="245">
        <f t="shared" si="29"/>
        <v>1.1086435074610013</v>
      </c>
      <c r="AV37" s="245">
        <f t="shared" si="29"/>
        <v>1.1411129624242424</v>
      </c>
      <c r="AW37" s="245">
        <f t="shared" si="29"/>
        <v>1.2220859041061669</v>
      </c>
      <c r="AX37" s="245"/>
      <c r="AY37" s="245">
        <f t="shared" si="30"/>
        <v>0.96855217335390942</v>
      </c>
      <c r="AZ37" s="245">
        <f t="shared" si="30"/>
        <v>0.96855217335390942</v>
      </c>
      <c r="BA37" s="245"/>
    </row>
    <row r="38" spans="1:55" x14ac:dyDescent="0.25">
      <c r="A38" s="165">
        <v>7</v>
      </c>
      <c r="B38" s="166" t="s">
        <v>172</v>
      </c>
      <c r="C38" s="239">
        <f t="shared" si="34"/>
        <v>68405</v>
      </c>
      <c r="D38" s="240">
        <f t="shared" si="35"/>
        <v>53461</v>
      </c>
      <c r="E38" s="240">
        <f t="shared" si="36"/>
        <v>14944</v>
      </c>
      <c r="F38" s="240">
        <f t="shared" si="37"/>
        <v>10865</v>
      </c>
      <c r="G38" s="240">
        <f t="shared" si="38"/>
        <v>7775</v>
      </c>
      <c r="H38" s="240">
        <f>7775+14400-I38-H26</f>
        <v>0</v>
      </c>
      <c r="I38" s="250">
        <f>7049+726</f>
        <v>7775</v>
      </c>
      <c r="J38" s="240">
        <f t="shared" si="39"/>
        <v>3090</v>
      </c>
      <c r="K38" s="240">
        <v>3090</v>
      </c>
      <c r="L38" s="250"/>
      <c r="M38" s="240">
        <f t="shared" si="40"/>
        <v>57540</v>
      </c>
      <c r="N38" s="240">
        <f t="shared" si="41"/>
        <v>45686</v>
      </c>
      <c r="O38" s="240">
        <v>28566</v>
      </c>
      <c r="P38" s="250">
        <v>17120</v>
      </c>
      <c r="Q38" s="240">
        <f t="shared" si="42"/>
        <v>11854</v>
      </c>
      <c r="R38" s="240">
        <v>11854</v>
      </c>
      <c r="S38" s="250"/>
      <c r="T38" s="242">
        <f t="shared" si="31"/>
        <v>68203.261308000001</v>
      </c>
      <c r="U38" s="243">
        <f t="shared" si="43"/>
        <v>53786.147557999997</v>
      </c>
      <c r="V38" s="243">
        <f t="shared" si="44"/>
        <v>14417.11375</v>
      </c>
      <c r="W38" s="243">
        <f t="shared" si="32"/>
        <v>10967.198249999998</v>
      </c>
      <c r="X38" s="240">
        <f t="shared" si="45"/>
        <v>7886.1629999999986</v>
      </c>
      <c r="Y38" s="240">
        <f>154.121+14400-Y26</f>
        <v>154.12099999999919</v>
      </c>
      <c r="Z38" s="250">
        <f>7886.163-154.121</f>
        <v>7732.0419999999995</v>
      </c>
      <c r="AA38" s="247">
        <f t="shared" si="46"/>
        <v>3081.0352499999999</v>
      </c>
      <c r="AB38" s="251">
        <v>3081.0352499999999</v>
      </c>
      <c r="AC38" s="251">
        <v>0</v>
      </c>
      <c r="AD38" s="247">
        <f t="shared" si="47"/>
        <v>57236.063058</v>
      </c>
      <c r="AE38" s="247">
        <f t="shared" si="48"/>
        <v>45899.984557999996</v>
      </c>
      <c r="AF38" s="248">
        <v>28927.801557999999</v>
      </c>
      <c r="AG38" s="251">
        <v>16972.183000000001</v>
      </c>
      <c r="AH38" s="243">
        <f t="shared" si="33"/>
        <v>11336.0785</v>
      </c>
      <c r="AI38" s="251">
        <v>11336.0785</v>
      </c>
      <c r="AJ38" s="251">
        <v>0</v>
      </c>
      <c r="AK38" s="245">
        <f t="shared" si="26"/>
        <v>0.99705081950149843</v>
      </c>
      <c r="AL38" s="245">
        <f t="shared" si="25"/>
        <v>1.0060819580254765</v>
      </c>
      <c r="AM38" s="245">
        <f t="shared" si="25"/>
        <v>0.96474262245717346</v>
      </c>
      <c r="AN38" s="245">
        <f t="shared" si="25"/>
        <v>1.0094061895996316</v>
      </c>
      <c r="AO38" s="245">
        <f t="shared" si="25"/>
        <v>1.0142974919614147</v>
      </c>
      <c r="AP38" s="245"/>
      <c r="AQ38" s="245"/>
      <c r="AR38" s="245">
        <f t="shared" si="28"/>
        <v>0.99709878640776695</v>
      </c>
      <c r="AS38" s="245">
        <f t="shared" si="28"/>
        <v>0.99709878640776695</v>
      </c>
      <c r="AT38" s="245"/>
      <c r="AU38" s="245">
        <f t="shared" si="29"/>
        <v>0.99471781470281539</v>
      </c>
      <c r="AV38" s="245">
        <f t="shared" si="29"/>
        <v>1.0046838103138815</v>
      </c>
      <c r="AW38" s="245">
        <f t="shared" si="29"/>
        <v>1.0126654609675838</v>
      </c>
      <c r="AX38" s="245"/>
      <c r="AY38" s="245">
        <f t="shared" si="30"/>
        <v>0.95630829255947358</v>
      </c>
      <c r="AZ38" s="245">
        <f t="shared" si="30"/>
        <v>0.95630829255947358</v>
      </c>
      <c r="BA38" s="245"/>
    </row>
    <row r="39" spans="1:55" x14ac:dyDescent="0.25">
      <c r="A39" s="165">
        <v>8</v>
      </c>
      <c r="B39" s="166" t="s">
        <v>138</v>
      </c>
      <c r="C39" s="239">
        <f t="shared" si="34"/>
        <v>32020.550999999999</v>
      </c>
      <c r="D39" s="240">
        <f t="shared" si="35"/>
        <v>23559.550999999999</v>
      </c>
      <c r="E39" s="240">
        <f t="shared" si="36"/>
        <v>8461</v>
      </c>
      <c r="F39" s="240">
        <f t="shared" si="37"/>
        <v>7732.5509999999995</v>
      </c>
      <c r="G39" s="240">
        <f t="shared" si="38"/>
        <v>5478.5509999999995</v>
      </c>
      <c r="H39" s="240">
        <f>5479+12503-I39-H27</f>
        <v>-0.44900000000052387</v>
      </c>
      <c r="I39" s="250">
        <f>4028+1451</f>
        <v>5479</v>
      </c>
      <c r="J39" s="240">
        <f t="shared" si="39"/>
        <v>2254</v>
      </c>
      <c r="K39" s="240">
        <v>2254</v>
      </c>
      <c r="L39" s="250"/>
      <c r="M39" s="240">
        <f t="shared" si="40"/>
        <v>24288</v>
      </c>
      <c r="N39" s="240">
        <f t="shared" si="41"/>
        <v>18081</v>
      </c>
      <c r="O39" s="240">
        <f>9081</f>
        <v>9081</v>
      </c>
      <c r="P39" s="250">
        <v>9000</v>
      </c>
      <c r="Q39" s="240">
        <f t="shared" si="42"/>
        <v>6207</v>
      </c>
      <c r="R39" s="240">
        <v>6207</v>
      </c>
      <c r="S39" s="250"/>
      <c r="T39" s="242">
        <f t="shared" si="31"/>
        <v>32091.530041999999</v>
      </c>
      <c r="U39" s="243">
        <f t="shared" si="43"/>
        <v>23749.823891</v>
      </c>
      <c r="V39" s="243">
        <f t="shared" si="44"/>
        <v>8341.7061510000003</v>
      </c>
      <c r="W39" s="243">
        <f t="shared" si="32"/>
        <v>7593.9841510000006</v>
      </c>
      <c r="X39" s="240">
        <f t="shared" si="45"/>
        <v>5356.93</v>
      </c>
      <c r="Y39" s="240">
        <f>12503.449+33.608-Y27</f>
        <v>33.608000000000175</v>
      </c>
      <c r="Z39" s="250">
        <f>5356.93-33.608</f>
        <v>5323.3220000000001</v>
      </c>
      <c r="AA39" s="247">
        <f t="shared" si="46"/>
        <v>2237.0541509999998</v>
      </c>
      <c r="AB39" s="251">
        <v>2237.0541509999998</v>
      </c>
      <c r="AC39" s="251">
        <v>0</v>
      </c>
      <c r="AD39" s="247">
        <f t="shared" si="47"/>
        <v>24497.545891000002</v>
      </c>
      <c r="AE39" s="247">
        <f t="shared" si="48"/>
        <v>18392.893891</v>
      </c>
      <c r="AF39" s="248">
        <v>9405.5239999999994</v>
      </c>
      <c r="AG39" s="251">
        <v>8987.3698910000003</v>
      </c>
      <c r="AH39" s="243">
        <f t="shared" si="33"/>
        <v>6104.652</v>
      </c>
      <c r="AI39" s="251">
        <v>6104.652</v>
      </c>
      <c r="AJ39" s="251">
        <v>0</v>
      </c>
      <c r="AK39" s="245">
        <f t="shared" si="26"/>
        <v>1.0022166714745164</v>
      </c>
      <c r="AL39" s="245">
        <f t="shared" si="25"/>
        <v>1.0080762528538851</v>
      </c>
      <c r="AM39" s="245">
        <f t="shared" si="25"/>
        <v>0.98590073880156015</v>
      </c>
      <c r="AN39" s="245">
        <f t="shared" si="25"/>
        <v>0.98208006012504812</v>
      </c>
      <c r="AO39" s="245">
        <f t="shared" si="25"/>
        <v>0.9778005169615106</v>
      </c>
      <c r="AP39" s="245"/>
      <c r="AQ39" s="245"/>
      <c r="AR39" s="245">
        <f t="shared" si="28"/>
        <v>0.99248187710736457</v>
      </c>
      <c r="AS39" s="245">
        <f t="shared" si="28"/>
        <v>0.99248187710736457</v>
      </c>
      <c r="AT39" s="245"/>
      <c r="AU39" s="245">
        <f t="shared" si="29"/>
        <v>1.0086275482131095</v>
      </c>
      <c r="AV39" s="245">
        <f t="shared" si="29"/>
        <v>1.0172498142248769</v>
      </c>
      <c r="AW39" s="245">
        <f t="shared" si="29"/>
        <v>1.0357365928862459</v>
      </c>
      <c r="AX39" s="245"/>
      <c r="AY39" s="245">
        <f t="shared" si="30"/>
        <v>0.98351087481875299</v>
      </c>
      <c r="AZ39" s="245">
        <f t="shared" si="30"/>
        <v>0.98351087481875299</v>
      </c>
      <c r="BA39" s="245"/>
      <c r="BC39" s="246"/>
    </row>
    <row r="40" spans="1:55" x14ac:dyDescent="0.25">
      <c r="A40" s="165">
        <v>9</v>
      </c>
      <c r="B40" s="166" t="s">
        <v>171</v>
      </c>
      <c r="C40" s="239">
        <f t="shared" si="34"/>
        <v>61343</v>
      </c>
      <c r="D40" s="240">
        <f t="shared" si="35"/>
        <v>38935</v>
      </c>
      <c r="E40" s="240">
        <f t="shared" si="36"/>
        <v>22408</v>
      </c>
      <c r="F40" s="240">
        <f t="shared" si="37"/>
        <v>22979</v>
      </c>
      <c r="G40" s="240">
        <f t="shared" si="38"/>
        <v>9215</v>
      </c>
      <c r="H40" s="240">
        <f>9215+41937-I40-H28</f>
        <v>0</v>
      </c>
      <c r="I40" s="250">
        <f>7182+2033</f>
        <v>9215</v>
      </c>
      <c r="J40" s="240">
        <f t="shared" si="39"/>
        <v>13764</v>
      </c>
      <c r="K40" s="240">
        <v>13764</v>
      </c>
      <c r="L40" s="250"/>
      <c r="M40" s="240">
        <f t="shared" si="40"/>
        <v>38364</v>
      </c>
      <c r="N40" s="240">
        <f t="shared" si="41"/>
        <v>29720</v>
      </c>
      <c r="O40" s="240">
        <f>14870</f>
        <v>14870</v>
      </c>
      <c r="P40" s="250">
        <v>14850</v>
      </c>
      <c r="Q40" s="240">
        <f t="shared" si="42"/>
        <v>8644</v>
      </c>
      <c r="R40" s="240">
        <v>8644</v>
      </c>
      <c r="S40" s="250"/>
      <c r="T40" s="242">
        <f t="shared" si="31"/>
        <v>65058.031000000003</v>
      </c>
      <c r="U40" s="243">
        <f t="shared" si="43"/>
        <v>43733.778000000006</v>
      </c>
      <c r="V40" s="243">
        <f t="shared" si="44"/>
        <v>21324.253000000001</v>
      </c>
      <c r="W40" s="243">
        <f t="shared" si="32"/>
        <v>28449.439000000006</v>
      </c>
      <c r="X40" s="240">
        <f t="shared" si="45"/>
        <v>15207.870000000008</v>
      </c>
      <c r="Y40" s="240">
        <f>36749.084+6055-Y28</f>
        <v>6055.0000000000073</v>
      </c>
      <c r="Z40" s="250">
        <f>9152.87</f>
        <v>9152.8700000000008</v>
      </c>
      <c r="AA40" s="247">
        <f t="shared" si="46"/>
        <v>13241.569</v>
      </c>
      <c r="AB40" s="251">
        <v>13241.569</v>
      </c>
      <c r="AC40" s="251">
        <v>0</v>
      </c>
      <c r="AD40" s="247">
        <f t="shared" si="47"/>
        <v>36608.591999999997</v>
      </c>
      <c r="AE40" s="247">
        <f t="shared" si="48"/>
        <v>28525.907999999999</v>
      </c>
      <c r="AF40" s="248">
        <v>15077.276</v>
      </c>
      <c r="AG40" s="251">
        <v>13448.632</v>
      </c>
      <c r="AH40" s="243">
        <f t="shared" si="33"/>
        <v>8082.6840000000002</v>
      </c>
      <c r="AI40" s="251">
        <v>8082.6840000000002</v>
      </c>
      <c r="AJ40" s="251">
        <v>0</v>
      </c>
      <c r="AK40" s="245">
        <f t="shared" si="26"/>
        <v>1.0605616125719317</v>
      </c>
      <c r="AL40" s="245">
        <f t="shared" si="25"/>
        <v>1.1232510080904072</v>
      </c>
      <c r="AM40" s="245">
        <f t="shared" si="25"/>
        <v>0.95163571046054984</v>
      </c>
      <c r="AN40" s="245">
        <f t="shared" si="25"/>
        <v>1.238062535358371</v>
      </c>
      <c r="AO40" s="245">
        <f t="shared" si="25"/>
        <v>1.6503385784047757</v>
      </c>
      <c r="AP40" s="245"/>
      <c r="AQ40" s="245"/>
      <c r="AR40" s="245">
        <f t="shared" si="28"/>
        <v>0.96204366463237423</v>
      </c>
      <c r="AS40" s="245">
        <f t="shared" si="28"/>
        <v>0.96204366463237423</v>
      </c>
      <c r="AT40" s="245"/>
      <c r="AU40" s="245">
        <f t="shared" si="29"/>
        <v>0.954243353143572</v>
      </c>
      <c r="AV40" s="245">
        <f t="shared" si="29"/>
        <v>0.9598219380888291</v>
      </c>
      <c r="AW40" s="245">
        <f t="shared" si="29"/>
        <v>1.0139392064559516</v>
      </c>
      <c r="AX40" s="245"/>
      <c r="AY40" s="245">
        <f t="shared" si="30"/>
        <v>0.93506293382693195</v>
      </c>
      <c r="AZ40" s="245">
        <f t="shared" si="30"/>
        <v>0.93506293382693195</v>
      </c>
      <c r="BA40" s="245"/>
      <c r="BC40" s="246"/>
    </row>
    <row r="41" spans="1:55" x14ac:dyDescent="0.25">
      <c r="A41" s="165">
        <v>10</v>
      </c>
      <c r="B41" s="166" t="s">
        <v>155</v>
      </c>
      <c r="C41" s="239">
        <f t="shared" si="34"/>
        <v>45680</v>
      </c>
      <c r="D41" s="240">
        <f t="shared" si="35"/>
        <v>34104</v>
      </c>
      <c r="E41" s="240">
        <f t="shared" si="36"/>
        <v>11576</v>
      </c>
      <c r="F41" s="240">
        <f t="shared" si="37"/>
        <v>9825</v>
      </c>
      <c r="G41" s="240">
        <f t="shared" si="38"/>
        <v>2999</v>
      </c>
      <c r="H41" s="240">
        <f>2999+37077-I41-H29</f>
        <v>0</v>
      </c>
      <c r="I41" s="250">
        <f>2999</f>
        <v>2999</v>
      </c>
      <c r="J41" s="240">
        <f t="shared" si="39"/>
        <v>6826</v>
      </c>
      <c r="K41" s="240">
        <v>6826</v>
      </c>
      <c r="L41" s="250"/>
      <c r="M41" s="240">
        <f t="shared" si="40"/>
        <v>35855</v>
      </c>
      <c r="N41" s="240">
        <f t="shared" si="41"/>
        <v>31105</v>
      </c>
      <c r="O41" s="240">
        <v>23345</v>
      </c>
      <c r="P41" s="250">
        <v>7760</v>
      </c>
      <c r="Q41" s="240">
        <f t="shared" si="42"/>
        <v>4750</v>
      </c>
      <c r="R41" s="240">
        <v>4750</v>
      </c>
      <c r="S41" s="250"/>
      <c r="T41" s="242">
        <f t="shared" si="31"/>
        <v>44448.716036999998</v>
      </c>
      <c r="U41" s="243">
        <f t="shared" si="43"/>
        <v>33584.608678999997</v>
      </c>
      <c r="V41" s="243">
        <f t="shared" si="44"/>
        <v>10864.107358000001</v>
      </c>
      <c r="W41" s="243">
        <f t="shared" si="32"/>
        <v>8805.4190979999967</v>
      </c>
      <c r="X41" s="240">
        <f t="shared" si="45"/>
        <v>2567.8299999999958</v>
      </c>
      <c r="Y41" s="240">
        <f>47253.59877+182.588-Y29</f>
        <v>182.5879999999961</v>
      </c>
      <c r="Z41" s="250">
        <f>2567.83-182.588</f>
        <v>2385.2419999999997</v>
      </c>
      <c r="AA41" s="247">
        <f t="shared" si="46"/>
        <v>6237.5890980000004</v>
      </c>
      <c r="AB41" s="251">
        <v>6237.5890980000004</v>
      </c>
      <c r="AC41" s="251">
        <v>0</v>
      </c>
      <c r="AD41" s="247">
        <f t="shared" si="47"/>
        <v>35643.296939</v>
      </c>
      <c r="AE41" s="247">
        <f t="shared" si="48"/>
        <v>31016.778678999999</v>
      </c>
      <c r="AF41" s="248">
        <v>23280.922144</v>
      </c>
      <c r="AG41" s="251">
        <v>7735.8565349999999</v>
      </c>
      <c r="AH41" s="243">
        <f t="shared" si="33"/>
        <v>4626.5182599999998</v>
      </c>
      <c r="AI41" s="251">
        <v>4626.5182599999998</v>
      </c>
      <c r="AJ41" s="251">
        <v>0</v>
      </c>
      <c r="AK41" s="245">
        <f t="shared" si="26"/>
        <v>0.97304544739492116</v>
      </c>
      <c r="AL41" s="245">
        <f>U41/D41</f>
        <v>0.98477036942880591</v>
      </c>
      <c r="AM41" s="245">
        <f>V41/E41</f>
        <v>0.9385027088804424</v>
      </c>
      <c r="AN41" s="245">
        <f>W41/F41</f>
        <v>0.8962258623918572</v>
      </c>
      <c r="AO41" s="245">
        <f>X41/G41</f>
        <v>0.8562287429143034</v>
      </c>
      <c r="AP41" s="245"/>
      <c r="AQ41" s="245"/>
      <c r="AR41" s="245">
        <f t="shared" si="28"/>
        <v>0.91379857866979197</v>
      </c>
      <c r="AS41" s="245">
        <f t="shared" si="28"/>
        <v>0.91379857866979197</v>
      </c>
      <c r="AT41" s="245"/>
      <c r="AU41" s="245">
        <f t="shared" si="29"/>
        <v>0.99409557771579971</v>
      </c>
      <c r="AV41" s="245">
        <f t="shared" si="29"/>
        <v>0.99716375756309272</v>
      </c>
      <c r="AW41" s="245">
        <f t="shared" si="29"/>
        <v>0.99725517858213752</v>
      </c>
      <c r="AX41" s="245"/>
      <c r="AY41" s="245">
        <f t="shared" si="30"/>
        <v>0.97400384421052633</v>
      </c>
      <c r="AZ41" s="245">
        <f t="shared" si="30"/>
        <v>0.97400384421052633</v>
      </c>
      <c r="BA41" s="245"/>
    </row>
    <row r="42" spans="1:55" x14ac:dyDescent="0.25">
      <c r="A42" s="167"/>
      <c r="B42" s="173"/>
      <c r="C42" s="255"/>
      <c r="D42" s="256"/>
      <c r="E42" s="256"/>
      <c r="F42" s="256"/>
      <c r="G42" s="256"/>
      <c r="H42" s="256"/>
      <c r="I42" s="256"/>
      <c r="J42" s="256"/>
      <c r="K42" s="256"/>
      <c r="L42" s="256"/>
      <c r="M42" s="256"/>
      <c r="N42" s="256"/>
      <c r="O42" s="256"/>
      <c r="P42" s="256"/>
      <c r="Q42" s="256"/>
      <c r="R42" s="256"/>
      <c r="S42" s="256"/>
      <c r="T42" s="257"/>
      <c r="U42" s="258"/>
      <c r="V42" s="258"/>
      <c r="W42" s="258"/>
      <c r="X42" s="258"/>
      <c r="Y42" s="258"/>
      <c r="Z42" s="258"/>
      <c r="AA42" s="258"/>
      <c r="AB42" s="258"/>
      <c r="AC42" s="258"/>
      <c r="AD42" s="258"/>
      <c r="AE42" s="258"/>
      <c r="AF42" s="258"/>
      <c r="AG42" s="258"/>
      <c r="AH42" s="258"/>
      <c r="AI42" s="258"/>
      <c r="AJ42" s="258"/>
      <c r="AK42" s="259"/>
      <c r="AL42" s="260"/>
      <c r="AM42" s="260"/>
      <c r="AN42" s="260"/>
      <c r="AO42" s="260"/>
      <c r="AP42" s="260"/>
      <c r="AQ42" s="260"/>
      <c r="AR42" s="260"/>
      <c r="AS42" s="260"/>
      <c r="AT42" s="260"/>
      <c r="AU42" s="260"/>
      <c r="AV42" s="260"/>
      <c r="AW42" s="260"/>
      <c r="AX42" s="260"/>
      <c r="AY42" s="260"/>
      <c r="AZ42" s="260"/>
      <c r="BA42" s="260"/>
    </row>
    <row r="45" spans="1:55" x14ac:dyDescent="0.25">
      <c r="C45" s="261"/>
    </row>
  </sheetData>
  <mergeCells count="47">
    <mergeCell ref="AY9:BA9"/>
    <mergeCell ref="AN9:AN10"/>
    <mergeCell ref="AO9:AQ9"/>
    <mergeCell ref="AR9:AT9"/>
    <mergeCell ref="AU9:AU10"/>
    <mergeCell ref="AV9:AX9"/>
    <mergeCell ref="AZ1:BA1"/>
    <mergeCell ref="A3:BA3"/>
    <mergeCell ref="A4:BA4"/>
    <mergeCell ref="AL6:AM6"/>
    <mergeCell ref="AK7:BA7"/>
    <mergeCell ref="Q1:S1"/>
    <mergeCell ref="A1:B1"/>
    <mergeCell ref="A7:A10"/>
    <mergeCell ref="B7:B10"/>
    <mergeCell ref="C7:S7"/>
    <mergeCell ref="T7:AJ7"/>
    <mergeCell ref="C8:C10"/>
    <mergeCell ref="D8:E8"/>
    <mergeCell ref="F8:L8"/>
    <mergeCell ref="AN8:AT8"/>
    <mergeCell ref="AU8:BA8"/>
    <mergeCell ref="D9:D10"/>
    <mergeCell ref="E9:E10"/>
    <mergeCell ref="F9:F10"/>
    <mergeCell ref="G9:I9"/>
    <mergeCell ref="J9:L9"/>
    <mergeCell ref="M8:S8"/>
    <mergeCell ref="M9:M10"/>
    <mergeCell ref="U8:V8"/>
    <mergeCell ref="W8:AC8"/>
    <mergeCell ref="N9:P9"/>
    <mergeCell ref="Q9:S9"/>
    <mergeCell ref="U9:U10"/>
    <mergeCell ref="V9:V10"/>
    <mergeCell ref="W9:W10"/>
    <mergeCell ref="T8:T10"/>
    <mergeCell ref="AA9:AC9"/>
    <mergeCell ref="X9:Z9"/>
    <mergeCell ref="AH9:AJ9"/>
    <mergeCell ref="AL9:AL10"/>
    <mergeCell ref="AM9:AM10"/>
    <mergeCell ref="AL8:AM8"/>
    <mergeCell ref="AD8:AJ8"/>
    <mergeCell ref="AD9:AD10"/>
    <mergeCell ref="AE9:AG9"/>
    <mergeCell ref="AK8:AK10"/>
  </mergeCells>
  <dataValidations count="1">
    <dataValidation allowBlank="1" showInputMessage="1" showErrorMessage="1" prompt="ct 135" sqref="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dataValidations>
  <printOptions horizontalCentered="1"/>
  <pageMargins left="0" right="0" top="0.74803149606299213" bottom="0.74803149606299213"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62_QT</vt:lpstr>
      <vt:lpstr>63_QT</vt:lpstr>
      <vt:lpstr>64_QT </vt:lpstr>
      <vt:lpstr>65_QT</vt:lpstr>
      <vt:lpstr>66_QT </vt:lpstr>
      <vt:lpstr>67_QT</vt:lpstr>
      <vt:lpstr>68_QT </vt:lpstr>
      <vt:lpstr>'63_QT'!Print_Titles</vt:lpstr>
      <vt:lpstr>'64_QT '!Print_Titles</vt:lpstr>
      <vt:lpstr>'65_QT'!Print_Titles</vt:lpstr>
      <vt:lpstr>'66_QT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2022-01-04T01:56:11Z</dcterms:modified>
</cp:coreProperties>
</file>