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6" windowHeight="11760" tabRatio="705"/>
  </bookViews>
  <sheets>
    <sheet name="62_QT" sheetId="1" r:id="rId1"/>
    <sheet name="63_QT" sheetId="2" r:id="rId2"/>
    <sheet name="64_QT " sheetId="3" r:id="rId3"/>
    <sheet name="65_QT" sheetId="4" r:id="rId4"/>
    <sheet name="66_QT " sheetId="16" r:id="rId5"/>
    <sheet name="67_QT" sheetId="6" r:id="rId6"/>
    <sheet name="68_QT " sheetId="7" r:id="rId7"/>
  </sheets>
  <externalReferences>
    <externalReference r:id="rId8"/>
  </externalReferences>
  <definedNames>
    <definedName name="_xlnm.Print_Titles" localSheetId="1">'63_QT'!$6:$7</definedName>
    <definedName name="_xlnm.Print_Titles" localSheetId="2">'64_QT '!$6:$7</definedName>
    <definedName name="_xlnm.Print_Titles" localSheetId="3">'65_QT'!$6:$7</definedName>
    <definedName name="_xlnm.Print_Titles" localSheetId="4">'66_QT '!$6:$9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16" l="1"/>
  <c r="E13" i="16"/>
  <c r="F13" i="16"/>
  <c r="G13" i="16"/>
  <c r="H13" i="16"/>
  <c r="I13" i="16"/>
  <c r="J13" i="16"/>
  <c r="K13" i="16"/>
  <c r="L13" i="16"/>
  <c r="M13" i="16"/>
  <c r="N13" i="16"/>
  <c r="O13" i="16"/>
  <c r="P13" i="16"/>
  <c r="Q13" i="16"/>
  <c r="R13" i="16"/>
  <c r="S13" i="16"/>
  <c r="T13" i="16"/>
  <c r="U13" i="16"/>
  <c r="V13" i="16"/>
  <c r="W13" i="16"/>
  <c r="X13" i="16"/>
  <c r="Y13" i="16"/>
  <c r="Z13" i="16"/>
  <c r="AA13" i="16"/>
  <c r="C13" i="16"/>
  <c r="C11" i="4" l="1"/>
  <c r="AC14" i="16" l="1"/>
  <c r="D21" i="4"/>
  <c r="K95" i="3"/>
  <c r="J95" i="3"/>
  <c r="I95" i="3"/>
  <c r="F95" i="3"/>
  <c r="K94" i="3"/>
  <c r="J94" i="3"/>
  <c r="I94" i="3"/>
  <c r="F94" i="3"/>
  <c r="J93" i="3"/>
  <c r="F93" i="3"/>
  <c r="I93" i="3" s="1"/>
  <c r="E93" i="3"/>
  <c r="K93" i="3" s="1"/>
  <c r="J92" i="3"/>
  <c r="F92" i="3"/>
  <c r="I92" i="3" s="1"/>
  <c r="E92" i="3"/>
  <c r="K92" i="3" s="1"/>
  <c r="J91" i="3"/>
  <c r="F91" i="3"/>
  <c r="I91" i="3" s="1"/>
  <c r="E91" i="3"/>
  <c r="K91" i="3" s="1"/>
  <c r="J90" i="3"/>
  <c r="F90" i="3"/>
  <c r="I90" i="3" s="1"/>
  <c r="E90" i="3"/>
  <c r="K90" i="3" s="1"/>
  <c r="J89" i="3"/>
  <c r="F89" i="3"/>
  <c r="I89" i="3" s="1"/>
  <c r="E89" i="3"/>
  <c r="K89" i="3" s="1"/>
  <c r="J88" i="3"/>
  <c r="F88" i="3"/>
  <c r="I88" i="3" s="1"/>
  <c r="E88" i="3"/>
  <c r="K88" i="3" s="1"/>
  <c r="J87" i="3"/>
  <c r="F87" i="3"/>
  <c r="I87" i="3" s="1"/>
  <c r="E87" i="3"/>
  <c r="K87" i="3" s="1"/>
  <c r="J86" i="3"/>
  <c r="F86" i="3"/>
  <c r="I86" i="3" s="1"/>
  <c r="E86" i="3"/>
  <c r="K86" i="3" s="1"/>
  <c r="J85" i="3"/>
  <c r="F85" i="3"/>
  <c r="I85" i="3" s="1"/>
  <c r="E85" i="3"/>
  <c r="K84" i="3"/>
  <c r="J84" i="3"/>
  <c r="F84" i="3"/>
  <c r="C84" i="3"/>
  <c r="K83" i="3"/>
  <c r="J83" i="3"/>
  <c r="F83" i="3"/>
  <c r="C83" i="3"/>
  <c r="K82" i="3"/>
  <c r="J82" i="3"/>
  <c r="F82" i="3"/>
  <c r="I82" i="3" s="1"/>
  <c r="H81" i="3"/>
  <c r="G81" i="3"/>
  <c r="D81" i="3"/>
  <c r="J80" i="3"/>
  <c r="F80" i="3"/>
  <c r="I80" i="3" s="1"/>
  <c r="E80" i="3"/>
  <c r="K80" i="3" s="1"/>
  <c r="J79" i="3"/>
  <c r="F79" i="3"/>
  <c r="I79" i="3" s="1"/>
  <c r="E79" i="3"/>
  <c r="K79" i="3" s="1"/>
  <c r="H78" i="3"/>
  <c r="G78" i="3"/>
  <c r="D78" i="3"/>
  <c r="C78" i="3"/>
  <c r="J77" i="3"/>
  <c r="F77" i="3"/>
  <c r="I77" i="3" s="1"/>
  <c r="E77" i="3"/>
  <c r="K77" i="3" s="1"/>
  <c r="J76" i="3"/>
  <c r="F76" i="3"/>
  <c r="I76" i="3" s="1"/>
  <c r="E76" i="3"/>
  <c r="K76" i="3" s="1"/>
  <c r="J75" i="3"/>
  <c r="F75" i="3"/>
  <c r="I75" i="3" s="1"/>
  <c r="E75" i="3"/>
  <c r="K75" i="3" s="1"/>
  <c r="J74" i="3"/>
  <c r="F74" i="3"/>
  <c r="I74" i="3" s="1"/>
  <c r="E74" i="3"/>
  <c r="K74" i="3" s="1"/>
  <c r="J73" i="3"/>
  <c r="F73" i="3"/>
  <c r="I73" i="3" s="1"/>
  <c r="E73" i="3"/>
  <c r="K73" i="3" s="1"/>
  <c r="J72" i="3"/>
  <c r="F72" i="3"/>
  <c r="I72" i="3" s="1"/>
  <c r="E72" i="3"/>
  <c r="K72" i="3" s="1"/>
  <c r="J71" i="3"/>
  <c r="F71" i="3"/>
  <c r="E71" i="3"/>
  <c r="K71" i="3" s="1"/>
  <c r="J70" i="3"/>
  <c r="F70" i="3"/>
  <c r="I70" i="3" s="1"/>
  <c r="E70" i="3"/>
  <c r="K70" i="3" s="1"/>
  <c r="J69" i="3"/>
  <c r="F69" i="3"/>
  <c r="I69" i="3" s="1"/>
  <c r="E69" i="3"/>
  <c r="K69" i="3" s="1"/>
  <c r="H68" i="3"/>
  <c r="G68" i="3"/>
  <c r="D68" i="3"/>
  <c r="C68" i="3"/>
  <c r="J67" i="3"/>
  <c r="F67" i="3"/>
  <c r="I67" i="3" s="1"/>
  <c r="E67" i="3"/>
  <c r="K67" i="3" s="1"/>
  <c r="J66" i="3"/>
  <c r="F66" i="3"/>
  <c r="E66" i="3"/>
  <c r="K66" i="3" s="1"/>
  <c r="J65" i="3"/>
  <c r="F65" i="3"/>
  <c r="I65" i="3" s="1"/>
  <c r="E65" i="3"/>
  <c r="K65" i="3" s="1"/>
  <c r="J64" i="3"/>
  <c r="F64" i="3"/>
  <c r="I64" i="3" s="1"/>
  <c r="E64" i="3"/>
  <c r="H63" i="3"/>
  <c r="G63" i="3"/>
  <c r="D63" i="3"/>
  <c r="C63" i="3"/>
  <c r="J62" i="3"/>
  <c r="F62" i="3"/>
  <c r="I62" i="3" s="1"/>
  <c r="E62" i="3"/>
  <c r="K62" i="3" s="1"/>
  <c r="J61" i="3"/>
  <c r="F61" i="3"/>
  <c r="I61" i="3" s="1"/>
  <c r="E61" i="3"/>
  <c r="K61" i="3" s="1"/>
  <c r="J60" i="3"/>
  <c r="F60" i="3"/>
  <c r="I60" i="3" s="1"/>
  <c r="E60" i="3"/>
  <c r="K60" i="3" s="1"/>
  <c r="J59" i="3"/>
  <c r="F59" i="3"/>
  <c r="I59" i="3" s="1"/>
  <c r="E59" i="3"/>
  <c r="K59" i="3" s="1"/>
  <c r="J58" i="3"/>
  <c r="F58" i="3"/>
  <c r="E58" i="3"/>
  <c r="K58" i="3" s="1"/>
  <c r="H57" i="3"/>
  <c r="G57" i="3"/>
  <c r="J57" i="3" s="1"/>
  <c r="E57" i="3"/>
  <c r="K57" i="3" s="1"/>
  <c r="K56" i="3"/>
  <c r="J56" i="3"/>
  <c r="F56" i="3"/>
  <c r="C56" i="3"/>
  <c r="K55" i="3"/>
  <c r="J55" i="3"/>
  <c r="F55" i="3"/>
  <c r="C55" i="3"/>
  <c r="K54" i="3"/>
  <c r="J54" i="3"/>
  <c r="F54" i="3"/>
  <c r="C54" i="3"/>
  <c r="H53" i="3"/>
  <c r="G53" i="3"/>
  <c r="E53" i="3"/>
  <c r="D53" i="3"/>
  <c r="K52" i="3"/>
  <c r="J52" i="3"/>
  <c r="F52" i="3"/>
  <c r="C52" i="3"/>
  <c r="K51" i="3"/>
  <c r="J51" i="3"/>
  <c r="F51" i="3"/>
  <c r="F50" i="3" s="1"/>
  <c r="C51" i="3"/>
  <c r="C50" i="3" s="1"/>
  <c r="H50" i="3"/>
  <c r="G50" i="3"/>
  <c r="E50" i="3"/>
  <c r="D50" i="3"/>
  <c r="J49" i="3"/>
  <c r="F49" i="3"/>
  <c r="E49" i="3"/>
  <c r="K49" i="3" s="1"/>
  <c r="K48" i="3"/>
  <c r="J48" i="3"/>
  <c r="F48" i="3"/>
  <c r="C48" i="3"/>
  <c r="J47" i="3"/>
  <c r="F47" i="3"/>
  <c r="E47" i="3"/>
  <c r="K47" i="3" s="1"/>
  <c r="K45" i="3"/>
  <c r="J45" i="3"/>
  <c r="F45" i="3"/>
  <c r="C45" i="3"/>
  <c r="K44" i="3"/>
  <c r="J44" i="3"/>
  <c r="F44" i="3"/>
  <c r="C44" i="3"/>
  <c r="K43" i="3"/>
  <c r="J43" i="3"/>
  <c r="F43" i="3"/>
  <c r="C43" i="3"/>
  <c r="K42" i="3"/>
  <c r="J42" i="3"/>
  <c r="F42" i="3"/>
  <c r="C42" i="3"/>
  <c r="K41" i="3"/>
  <c r="J41" i="3"/>
  <c r="F41" i="3"/>
  <c r="C41" i="3"/>
  <c r="K40" i="3"/>
  <c r="J40" i="3"/>
  <c r="F40" i="3"/>
  <c r="C40" i="3"/>
  <c r="H39" i="3"/>
  <c r="G39" i="3"/>
  <c r="E39" i="3"/>
  <c r="K39" i="3" s="1"/>
  <c r="D39" i="3"/>
  <c r="K37" i="3"/>
  <c r="J37" i="3"/>
  <c r="F37" i="3"/>
  <c r="C37" i="3"/>
  <c r="K36" i="3"/>
  <c r="J36" i="3"/>
  <c r="F36" i="3"/>
  <c r="C36" i="3"/>
  <c r="H35" i="3"/>
  <c r="G35" i="3"/>
  <c r="D35" i="3"/>
  <c r="H33" i="3"/>
  <c r="G33" i="3"/>
  <c r="E33" i="3"/>
  <c r="D33" i="3"/>
  <c r="C33" i="3" s="1"/>
  <c r="H32" i="3"/>
  <c r="H31" i="3" s="1"/>
  <c r="G32" i="3"/>
  <c r="E32" i="3"/>
  <c r="D32" i="3"/>
  <c r="E31" i="3"/>
  <c r="D31" i="3"/>
  <c r="C31" i="3" s="1"/>
  <c r="K29" i="3"/>
  <c r="J29" i="3"/>
  <c r="F29" i="3"/>
  <c r="C29" i="3"/>
  <c r="J28" i="3"/>
  <c r="F28" i="3"/>
  <c r="I28" i="3" s="1"/>
  <c r="E28" i="3"/>
  <c r="K28" i="3" s="1"/>
  <c r="J27" i="3"/>
  <c r="I27" i="3"/>
  <c r="E27" i="3"/>
  <c r="K27" i="3" s="1"/>
  <c r="J26" i="3"/>
  <c r="F26" i="3"/>
  <c r="I26" i="3" s="1"/>
  <c r="E26" i="3"/>
  <c r="K26" i="3" s="1"/>
  <c r="J25" i="3"/>
  <c r="F25" i="3"/>
  <c r="I25" i="3" s="1"/>
  <c r="E25" i="3"/>
  <c r="K25" i="3" s="1"/>
  <c r="J24" i="3"/>
  <c r="H24" i="3"/>
  <c r="E24" i="3"/>
  <c r="E23" i="3"/>
  <c r="K22" i="3"/>
  <c r="J22" i="3"/>
  <c r="I22" i="3"/>
  <c r="H21" i="3"/>
  <c r="E21" i="3"/>
  <c r="J20" i="3"/>
  <c r="I20" i="3"/>
  <c r="E20" i="3"/>
  <c r="K20" i="3" s="1"/>
  <c r="K19" i="3"/>
  <c r="F19" i="3"/>
  <c r="D19" i="3"/>
  <c r="J19" i="3" s="1"/>
  <c r="J18" i="3"/>
  <c r="F18" i="3"/>
  <c r="I18" i="3" s="1"/>
  <c r="E18" i="3"/>
  <c r="K18" i="3" s="1"/>
  <c r="F17" i="3"/>
  <c r="E17" i="3"/>
  <c r="K17" i="3" s="1"/>
  <c r="J16" i="3"/>
  <c r="I16" i="3"/>
  <c r="E16" i="3"/>
  <c r="K16" i="3" s="1"/>
  <c r="J15" i="3"/>
  <c r="H15" i="3"/>
  <c r="F15" i="3" s="1"/>
  <c r="I15" i="3" s="1"/>
  <c r="E15" i="3"/>
  <c r="K15" i="3" s="1"/>
  <c r="J14" i="3"/>
  <c r="H14" i="3"/>
  <c r="F14" i="3" s="1"/>
  <c r="E14" i="3"/>
  <c r="C14" i="3" s="1"/>
  <c r="K13" i="3"/>
  <c r="J13" i="3"/>
  <c r="I13" i="3"/>
  <c r="G12" i="3"/>
  <c r="G11" i="3" s="1"/>
  <c r="F12" i="3"/>
  <c r="H11" i="3"/>
  <c r="AZ41" i="7"/>
  <c r="AW41" i="7"/>
  <c r="AS41" i="7"/>
  <c r="AH41" i="7"/>
  <c r="AE41" i="7"/>
  <c r="AA41" i="7"/>
  <c r="Z41" i="7"/>
  <c r="Y41" i="7"/>
  <c r="Q41" i="7"/>
  <c r="N41" i="7"/>
  <c r="M41" i="7" s="1"/>
  <c r="J41" i="7"/>
  <c r="AR41" i="7" s="1"/>
  <c r="I41" i="7"/>
  <c r="H41" i="7" s="1"/>
  <c r="G41" i="7" s="1"/>
  <c r="AZ40" i="7"/>
  <c r="AS40" i="7"/>
  <c r="AH40" i="7"/>
  <c r="AD40" i="7" s="1"/>
  <c r="AE40" i="7"/>
  <c r="AA40" i="7"/>
  <c r="Z40" i="7"/>
  <c r="Y40" i="7"/>
  <c r="Q40" i="7"/>
  <c r="E40" i="7" s="1"/>
  <c r="O40" i="7"/>
  <c r="N40" i="7" s="1"/>
  <c r="J40" i="7"/>
  <c r="I40" i="7"/>
  <c r="H40" i="7" s="1"/>
  <c r="G40" i="7" s="1"/>
  <c r="AZ39" i="7"/>
  <c r="AS39" i="7"/>
  <c r="AH39" i="7"/>
  <c r="AE39" i="7"/>
  <c r="AA39" i="7"/>
  <c r="Z39" i="7"/>
  <c r="Y39" i="7"/>
  <c r="X39" i="7" s="1"/>
  <c r="Q39" i="7"/>
  <c r="O39" i="7"/>
  <c r="AW39" i="7" s="1"/>
  <c r="J39" i="7"/>
  <c r="I39" i="7"/>
  <c r="H39" i="7" s="1"/>
  <c r="G39" i="7" s="1"/>
  <c r="AZ38" i="7"/>
  <c r="AW38" i="7"/>
  <c r="AS38" i="7"/>
  <c r="AH38" i="7"/>
  <c r="AE38" i="7"/>
  <c r="AA38" i="7"/>
  <c r="Z38" i="7"/>
  <c r="Y38" i="7"/>
  <c r="Q38" i="7"/>
  <c r="N38" i="7"/>
  <c r="J38" i="7"/>
  <c r="I38" i="7"/>
  <c r="H38" i="7" s="1"/>
  <c r="G38" i="7" s="1"/>
  <c r="AZ37" i="7"/>
  <c r="AW37" i="7"/>
  <c r="AS37" i="7"/>
  <c r="AH37" i="7"/>
  <c r="AE37" i="7"/>
  <c r="AA37" i="7"/>
  <c r="Z37" i="7"/>
  <c r="Y37" i="7"/>
  <c r="Q37" i="7"/>
  <c r="N37" i="7"/>
  <c r="J37" i="7"/>
  <c r="I37" i="7"/>
  <c r="H37" i="7" s="1"/>
  <c r="G37" i="7" s="1"/>
  <c r="AZ36" i="7"/>
  <c r="AS36" i="7"/>
  <c r="AH36" i="7"/>
  <c r="V36" i="7" s="1"/>
  <c r="AE36" i="7"/>
  <c r="AA36" i="7"/>
  <c r="Z36" i="7"/>
  <c r="Y36" i="7"/>
  <c r="Y31" i="7" s="1"/>
  <c r="Q36" i="7"/>
  <c r="O36" i="7"/>
  <c r="N36" i="7" s="1"/>
  <c r="J36" i="7"/>
  <c r="I36" i="7"/>
  <c r="H36" i="7" s="1"/>
  <c r="AZ35" i="7"/>
  <c r="AW35" i="7"/>
  <c r="AS35" i="7"/>
  <c r="AH35" i="7"/>
  <c r="AE35" i="7"/>
  <c r="AA35" i="7"/>
  <c r="X35" i="7"/>
  <c r="W35" i="7" s="1"/>
  <c r="Q35" i="7"/>
  <c r="AY35" i="7" s="1"/>
  <c r="N35" i="7"/>
  <c r="J35" i="7"/>
  <c r="I35" i="7"/>
  <c r="G35" i="7" s="1"/>
  <c r="AZ34" i="7"/>
  <c r="AS34" i="7"/>
  <c r="AH34" i="7"/>
  <c r="AE34" i="7"/>
  <c r="AD34" i="7"/>
  <c r="AA34" i="7"/>
  <c r="Z34" i="7"/>
  <c r="X34" i="7" s="1"/>
  <c r="Q34" i="7"/>
  <c r="O34" i="7"/>
  <c r="AW34" i="7" s="1"/>
  <c r="J34" i="7"/>
  <c r="I34" i="7"/>
  <c r="G34" i="7"/>
  <c r="AZ33" i="7"/>
  <c r="AS33" i="7"/>
  <c r="AH33" i="7"/>
  <c r="AE33" i="7"/>
  <c r="AA33" i="7"/>
  <c r="Z33" i="7"/>
  <c r="X33" i="7"/>
  <c r="Q33" i="7"/>
  <c r="O33" i="7"/>
  <c r="AW33" i="7" s="1"/>
  <c r="J33" i="7"/>
  <c r="I33" i="7"/>
  <c r="G33" i="7" s="1"/>
  <c r="AZ32" i="7"/>
  <c r="AH32" i="7"/>
  <c r="AH31" i="7" s="1"/>
  <c r="AE32" i="7"/>
  <c r="AB32" i="7"/>
  <c r="AS32" i="7" s="1"/>
  <c r="X32" i="7"/>
  <c r="U32" i="7"/>
  <c r="Q32" i="7"/>
  <c r="O32" i="7"/>
  <c r="AW32" i="7" s="1"/>
  <c r="J32" i="7"/>
  <c r="E32" i="7" s="1"/>
  <c r="I32" i="7"/>
  <c r="G32" i="7" s="1"/>
  <c r="AJ31" i="7"/>
  <c r="AI31" i="7"/>
  <c r="AG31" i="7"/>
  <c r="AF31" i="7"/>
  <c r="AC31" i="7"/>
  <c r="AB31" i="7"/>
  <c r="S31" i="7"/>
  <c r="R31" i="7"/>
  <c r="P31" i="7"/>
  <c r="L31" i="7"/>
  <c r="K31" i="7"/>
  <c r="X30" i="7"/>
  <c r="V30" i="7"/>
  <c r="Q30" i="7"/>
  <c r="N30" i="7"/>
  <c r="J30" i="7"/>
  <c r="E30" i="7" s="1"/>
  <c r="G30" i="7"/>
  <c r="AP29" i="7"/>
  <c r="X29" i="7"/>
  <c r="W29" i="7" s="1"/>
  <c r="V29" i="7"/>
  <c r="Q29" i="7"/>
  <c r="N29" i="7"/>
  <c r="J29" i="7"/>
  <c r="G29" i="7"/>
  <c r="AP28" i="7"/>
  <c r="X28" i="7"/>
  <c r="V28" i="7"/>
  <c r="Q28" i="7"/>
  <c r="N28" i="7"/>
  <c r="J28" i="7"/>
  <c r="G28" i="7"/>
  <c r="AP27" i="7"/>
  <c r="X27" i="7"/>
  <c r="W27" i="7" s="1"/>
  <c r="V27" i="7"/>
  <c r="Q27" i="7"/>
  <c r="N27" i="7"/>
  <c r="J27" i="7"/>
  <c r="G27" i="7"/>
  <c r="X26" i="7"/>
  <c r="U26" i="7" s="1"/>
  <c r="V26" i="7"/>
  <c r="Q26" i="7"/>
  <c r="N26" i="7"/>
  <c r="J26" i="7"/>
  <c r="G26" i="7"/>
  <c r="D26" i="7" s="1"/>
  <c r="X25" i="7"/>
  <c r="W25" i="7" s="1"/>
  <c r="V25" i="7"/>
  <c r="U25" i="7"/>
  <c r="T25" i="7" s="1"/>
  <c r="Q25" i="7"/>
  <c r="M25" i="7" s="1"/>
  <c r="N25" i="7"/>
  <c r="J25" i="7"/>
  <c r="G25" i="7"/>
  <c r="X24" i="7"/>
  <c r="V24" i="7"/>
  <c r="Q24" i="7"/>
  <c r="N24" i="7"/>
  <c r="J24" i="7"/>
  <c r="G24" i="7"/>
  <c r="AS23" i="7"/>
  <c r="AH23" i="7"/>
  <c r="AE23" i="7"/>
  <c r="AD23" i="7" s="1"/>
  <c r="AA23" i="7"/>
  <c r="X23" i="7"/>
  <c r="W23" i="7" s="1"/>
  <c r="Q23" i="7"/>
  <c r="N23" i="7"/>
  <c r="J23" i="7"/>
  <c r="G23" i="7"/>
  <c r="AS22" i="7"/>
  <c r="AH22" i="7"/>
  <c r="AE22" i="7"/>
  <c r="AA22" i="7"/>
  <c r="X22" i="7"/>
  <c r="Q22" i="7"/>
  <c r="N22" i="7"/>
  <c r="J22" i="7"/>
  <c r="G22" i="7"/>
  <c r="AZ21" i="7"/>
  <c r="AH21" i="7"/>
  <c r="AE21" i="7"/>
  <c r="AA21" i="7"/>
  <c r="X21" i="7"/>
  <c r="Q21" i="7"/>
  <c r="N21" i="7"/>
  <c r="J21" i="7"/>
  <c r="G21" i="7"/>
  <c r="D21" i="7" s="1"/>
  <c r="AZ20" i="7"/>
  <c r="AH20" i="7"/>
  <c r="AE20" i="7"/>
  <c r="AA20" i="7"/>
  <c r="X20" i="7"/>
  <c r="Q20" i="7"/>
  <c r="N20" i="7"/>
  <c r="J20" i="7"/>
  <c r="G20" i="7"/>
  <c r="F20" i="7" s="1"/>
  <c r="AZ19" i="7"/>
  <c r="AH19" i="7"/>
  <c r="AE19" i="7"/>
  <c r="AA19" i="7"/>
  <c r="X19" i="7"/>
  <c r="Q19" i="7"/>
  <c r="N19" i="7"/>
  <c r="J19" i="7"/>
  <c r="G19" i="7"/>
  <c r="AZ18" i="7"/>
  <c r="AH18" i="7"/>
  <c r="AE18" i="7"/>
  <c r="AA18" i="7"/>
  <c r="X18" i="7"/>
  <c r="U18" i="7" s="1"/>
  <c r="Q18" i="7"/>
  <c r="M18" i="7" s="1"/>
  <c r="N18" i="7"/>
  <c r="J18" i="7"/>
  <c r="G18" i="7"/>
  <c r="AZ17" i="7"/>
  <c r="AH17" i="7"/>
  <c r="AE17" i="7"/>
  <c r="AA17" i="7"/>
  <c r="X17" i="7"/>
  <c r="Q17" i="7"/>
  <c r="N17" i="7"/>
  <c r="J17" i="7"/>
  <c r="G17" i="7"/>
  <c r="AZ16" i="7"/>
  <c r="AH16" i="7"/>
  <c r="AE16" i="7"/>
  <c r="AA16" i="7"/>
  <c r="X16" i="7"/>
  <c r="Q16" i="7"/>
  <c r="M16" i="7" s="1"/>
  <c r="N16" i="7"/>
  <c r="J16" i="7"/>
  <c r="G16" i="7"/>
  <c r="AZ15" i="7"/>
  <c r="AS15" i="7"/>
  <c r="AH15" i="7"/>
  <c r="AE15" i="7"/>
  <c r="AA15" i="7"/>
  <c r="X15" i="7"/>
  <c r="Q15" i="7"/>
  <c r="N15" i="7"/>
  <c r="J15" i="7"/>
  <c r="E15" i="7" s="1"/>
  <c r="G15" i="7"/>
  <c r="AZ14" i="7"/>
  <c r="AS14" i="7"/>
  <c r="AH14" i="7"/>
  <c r="AE14" i="7"/>
  <c r="AA14" i="7"/>
  <c r="X14" i="7"/>
  <c r="W14" i="7" s="1"/>
  <c r="Q14" i="7"/>
  <c r="AY14" i="7" s="1"/>
  <c r="N14" i="7"/>
  <c r="J14" i="7"/>
  <c r="G14" i="7"/>
  <c r="F14" i="7" s="1"/>
  <c r="AJ13" i="7"/>
  <c r="AI13" i="7"/>
  <c r="AG13" i="7"/>
  <c r="AG12" i="7" s="1"/>
  <c r="AF13" i="7"/>
  <c r="AF12" i="7" s="1"/>
  <c r="AC13" i="7"/>
  <c r="AC12" i="7" s="1"/>
  <c r="AB13" i="7"/>
  <c r="Z13" i="7"/>
  <c r="Y13" i="7"/>
  <c r="S13" i="7"/>
  <c r="S12" i="7" s="1"/>
  <c r="R13" i="7"/>
  <c r="P13" i="7"/>
  <c r="P12" i="7" s="1"/>
  <c r="O13" i="7"/>
  <c r="L13" i="7"/>
  <c r="L12" i="7" s="1"/>
  <c r="K13" i="7"/>
  <c r="I13" i="7"/>
  <c r="H13" i="7"/>
  <c r="R12" i="7"/>
  <c r="U115" i="16"/>
  <c r="N115" i="16" s="1"/>
  <c r="K115" i="16"/>
  <c r="C115" i="16" s="1"/>
  <c r="U114" i="16"/>
  <c r="N114" i="16" s="1"/>
  <c r="K114" i="16"/>
  <c r="C114" i="16" s="1"/>
  <c r="U113" i="16"/>
  <c r="N113" i="16" s="1"/>
  <c r="K113" i="16"/>
  <c r="J113" i="16"/>
  <c r="C113" i="16" s="1"/>
  <c r="X112" i="16"/>
  <c r="U112" i="16"/>
  <c r="K112" i="16"/>
  <c r="C112" i="16" s="1"/>
  <c r="X111" i="16"/>
  <c r="U111" i="16"/>
  <c r="P111" i="16"/>
  <c r="K111" i="16"/>
  <c r="C111" i="16" s="1"/>
  <c r="X110" i="16"/>
  <c r="U110" i="16"/>
  <c r="K110" i="16"/>
  <c r="C110" i="16" s="1"/>
  <c r="E109" i="16"/>
  <c r="C109" i="16" s="1"/>
  <c r="AB109" i="16" s="1"/>
  <c r="E108" i="16"/>
  <c r="C108" i="16" s="1"/>
  <c r="AB108" i="16" s="1"/>
  <c r="E107" i="16"/>
  <c r="C107" i="16" s="1"/>
  <c r="AB107" i="16" s="1"/>
  <c r="E106" i="16"/>
  <c r="C106" i="16" s="1"/>
  <c r="AB106" i="16" s="1"/>
  <c r="E105" i="16"/>
  <c r="C105" i="16" s="1"/>
  <c r="AB105" i="16" s="1"/>
  <c r="E104" i="16"/>
  <c r="C104" i="16" s="1"/>
  <c r="AB104" i="16" s="1"/>
  <c r="E103" i="16"/>
  <c r="C103" i="16" s="1"/>
  <c r="AB103" i="16" s="1"/>
  <c r="F102" i="16"/>
  <c r="K101" i="16"/>
  <c r="C101" i="16" s="1"/>
  <c r="AC100" i="16"/>
  <c r="X100" i="16"/>
  <c r="U100" i="16"/>
  <c r="N100" i="16" s="1"/>
  <c r="K100" i="16"/>
  <c r="C100" i="16" s="1"/>
  <c r="AC99" i="16"/>
  <c r="X99" i="16"/>
  <c r="U99" i="16"/>
  <c r="K99" i="16"/>
  <c r="C99" i="16" s="1"/>
  <c r="AC98" i="16"/>
  <c r="X98" i="16"/>
  <c r="U98" i="16"/>
  <c r="N98" i="16" s="1"/>
  <c r="K98" i="16"/>
  <c r="C98" i="16" s="1"/>
  <c r="AC97" i="16"/>
  <c r="X97" i="16"/>
  <c r="U97" i="16"/>
  <c r="K97" i="16"/>
  <c r="C97" i="16" s="1"/>
  <c r="AC96" i="16"/>
  <c r="X96" i="16"/>
  <c r="U96" i="16"/>
  <c r="K96" i="16"/>
  <c r="C96" i="16" s="1"/>
  <c r="AC95" i="16"/>
  <c r="X95" i="16"/>
  <c r="U95" i="16"/>
  <c r="N95" i="16" s="1"/>
  <c r="K95" i="16"/>
  <c r="C95" i="16" s="1"/>
  <c r="AC94" i="16"/>
  <c r="X94" i="16"/>
  <c r="U94" i="16"/>
  <c r="K94" i="16"/>
  <c r="C94" i="16" s="1"/>
  <c r="AC93" i="16"/>
  <c r="X93" i="16"/>
  <c r="U93" i="16"/>
  <c r="K93" i="16"/>
  <c r="C93" i="16" s="1"/>
  <c r="AC92" i="16"/>
  <c r="X92" i="16"/>
  <c r="U92" i="16"/>
  <c r="N92" i="16" s="1"/>
  <c r="K92" i="16"/>
  <c r="C92" i="16" s="1"/>
  <c r="AC91" i="16"/>
  <c r="X91" i="16"/>
  <c r="U91" i="16"/>
  <c r="N91" i="16" s="1"/>
  <c r="K91" i="16"/>
  <c r="C91" i="16" s="1"/>
  <c r="Z90" i="16"/>
  <c r="Y90" i="16"/>
  <c r="V90" i="16"/>
  <c r="V12" i="16" s="1"/>
  <c r="V11" i="16" s="1"/>
  <c r="O90" i="16"/>
  <c r="M90" i="16"/>
  <c r="L90" i="16"/>
  <c r="K90" i="16" s="1"/>
  <c r="J90" i="16"/>
  <c r="I90" i="16"/>
  <c r="E90" i="16"/>
  <c r="D90" i="16"/>
  <c r="U89" i="16"/>
  <c r="Q89" i="16"/>
  <c r="P89" i="16" s="1"/>
  <c r="K89" i="16"/>
  <c r="E89" i="16"/>
  <c r="H88" i="16"/>
  <c r="E88" i="16" s="1"/>
  <c r="C88" i="16" s="1"/>
  <c r="U87" i="16"/>
  <c r="N87" i="16" s="1"/>
  <c r="K87" i="16"/>
  <c r="E87" i="16"/>
  <c r="U86" i="16"/>
  <c r="P86" i="16"/>
  <c r="K86" i="16"/>
  <c r="E86" i="16"/>
  <c r="U85" i="16"/>
  <c r="P85" i="16"/>
  <c r="K85" i="16"/>
  <c r="E85" i="16"/>
  <c r="U84" i="16"/>
  <c r="P84" i="16"/>
  <c r="K84" i="16"/>
  <c r="E84" i="16"/>
  <c r="AC83" i="16"/>
  <c r="U83" i="16"/>
  <c r="P83" i="16"/>
  <c r="K83" i="16"/>
  <c r="E83" i="16"/>
  <c r="U82" i="16"/>
  <c r="P82" i="16"/>
  <c r="N82" i="16" s="1"/>
  <c r="K82" i="16"/>
  <c r="H82" i="16"/>
  <c r="E82" i="16" s="1"/>
  <c r="U81" i="16"/>
  <c r="P81" i="16"/>
  <c r="K81" i="16"/>
  <c r="E81" i="16"/>
  <c r="U80" i="16"/>
  <c r="P80" i="16"/>
  <c r="K80" i="16"/>
  <c r="E80" i="16"/>
  <c r="U79" i="16"/>
  <c r="P79" i="16"/>
  <c r="N79" i="16" s="1"/>
  <c r="K79" i="16"/>
  <c r="H79" i="16"/>
  <c r="E79" i="16" s="1"/>
  <c r="U78" i="16"/>
  <c r="P78" i="16"/>
  <c r="N78" i="16" s="1"/>
  <c r="K78" i="16"/>
  <c r="E78" i="16"/>
  <c r="AC77" i="16"/>
  <c r="U77" i="16"/>
  <c r="P77" i="16"/>
  <c r="K77" i="16"/>
  <c r="E77" i="16"/>
  <c r="AC76" i="16"/>
  <c r="U76" i="16"/>
  <c r="N76" i="16" s="1"/>
  <c r="P76" i="16"/>
  <c r="K76" i="16"/>
  <c r="E76" i="16"/>
  <c r="AC75" i="16"/>
  <c r="U75" i="16"/>
  <c r="P75" i="16"/>
  <c r="K75" i="16"/>
  <c r="E75" i="16"/>
  <c r="U74" i="16"/>
  <c r="P74" i="16"/>
  <c r="K74" i="16"/>
  <c r="E74" i="16"/>
  <c r="U73" i="16"/>
  <c r="P73" i="16"/>
  <c r="N73" i="16" s="1"/>
  <c r="K73" i="16"/>
  <c r="E73" i="16"/>
  <c r="U72" i="16"/>
  <c r="P72" i="16"/>
  <c r="K72" i="16"/>
  <c r="E72" i="16"/>
  <c r="AC71" i="16"/>
  <c r="U71" i="16"/>
  <c r="P71" i="16"/>
  <c r="K71" i="16"/>
  <c r="E71" i="16"/>
  <c r="U70" i="16"/>
  <c r="P70" i="16"/>
  <c r="K70" i="16"/>
  <c r="E70" i="16"/>
  <c r="U69" i="16"/>
  <c r="P69" i="16"/>
  <c r="K69" i="16"/>
  <c r="E69" i="16"/>
  <c r="U68" i="16"/>
  <c r="P68" i="16"/>
  <c r="K68" i="16"/>
  <c r="E68" i="16"/>
  <c r="AC67" i="16"/>
  <c r="U67" i="16"/>
  <c r="P67" i="16"/>
  <c r="K67" i="16"/>
  <c r="E67" i="16"/>
  <c r="AC66" i="16"/>
  <c r="U66" i="16"/>
  <c r="P66" i="16"/>
  <c r="K66" i="16"/>
  <c r="E66" i="16"/>
  <c r="AC65" i="16"/>
  <c r="U65" i="16"/>
  <c r="P65" i="16"/>
  <c r="K65" i="16"/>
  <c r="E65" i="16"/>
  <c r="AC64" i="16"/>
  <c r="U64" i="16"/>
  <c r="P64" i="16"/>
  <c r="K64" i="16"/>
  <c r="E64" i="16"/>
  <c r="AC63" i="16"/>
  <c r="U63" i="16"/>
  <c r="P63" i="16"/>
  <c r="K63" i="16"/>
  <c r="E63" i="16"/>
  <c r="C63" i="16" s="1"/>
  <c r="U62" i="16"/>
  <c r="P62" i="16"/>
  <c r="K62" i="16"/>
  <c r="E62" i="16"/>
  <c r="U61" i="16"/>
  <c r="P61" i="16"/>
  <c r="K61" i="16"/>
  <c r="E61" i="16"/>
  <c r="U60" i="16"/>
  <c r="P60" i="16"/>
  <c r="K60" i="16"/>
  <c r="E60" i="16"/>
  <c r="U59" i="16"/>
  <c r="P59" i="16"/>
  <c r="K59" i="16"/>
  <c r="E59" i="16"/>
  <c r="U58" i="16"/>
  <c r="P58" i="16"/>
  <c r="K58" i="16"/>
  <c r="E58" i="16"/>
  <c r="U56" i="16"/>
  <c r="Q56" i="16"/>
  <c r="P56" i="16" s="1"/>
  <c r="K56" i="16"/>
  <c r="E56" i="16"/>
  <c r="U55" i="16"/>
  <c r="P55" i="16"/>
  <c r="N55" i="16" s="1"/>
  <c r="K55" i="16"/>
  <c r="E55" i="16"/>
  <c r="U54" i="16"/>
  <c r="P54" i="16"/>
  <c r="K54" i="16"/>
  <c r="E54" i="16"/>
  <c r="U53" i="16"/>
  <c r="P53" i="16"/>
  <c r="K53" i="16"/>
  <c r="E53" i="16"/>
  <c r="U52" i="16"/>
  <c r="P52" i="16"/>
  <c r="K52" i="16"/>
  <c r="E52" i="16"/>
  <c r="U51" i="16"/>
  <c r="P51" i="16"/>
  <c r="K51" i="16"/>
  <c r="E51" i="16"/>
  <c r="U50" i="16"/>
  <c r="P50" i="16"/>
  <c r="K50" i="16"/>
  <c r="E50" i="16"/>
  <c r="U49" i="16"/>
  <c r="P49" i="16"/>
  <c r="N49" i="16"/>
  <c r="K49" i="16"/>
  <c r="E49" i="16"/>
  <c r="U48" i="16"/>
  <c r="P48" i="16"/>
  <c r="K48" i="16"/>
  <c r="E48" i="16"/>
  <c r="U47" i="16"/>
  <c r="P47" i="16"/>
  <c r="AD47" i="16" s="1"/>
  <c r="K47" i="16"/>
  <c r="E47" i="16"/>
  <c r="U46" i="16"/>
  <c r="P46" i="16"/>
  <c r="K46" i="16"/>
  <c r="E46" i="16"/>
  <c r="U45" i="16"/>
  <c r="P45" i="16"/>
  <c r="N45" i="16" s="1"/>
  <c r="K45" i="16"/>
  <c r="E45" i="16"/>
  <c r="U44" i="16"/>
  <c r="P44" i="16"/>
  <c r="K44" i="16"/>
  <c r="E44" i="16"/>
  <c r="U43" i="16"/>
  <c r="P43" i="16"/>
  <c r="N43" i="16" s="1"/>
  <c r="K43" i="16"/>
  <c r="E43" i="16"/>
  <c r="O12" i="16"/>
  <c r="O11" i="16" s="1"/>
  <c r="U42" i="16"/>
  <c r="Q42" i="16"/>
  <c r="P42" i="16" s="1"/>
  <c r="K42" i="16"/>
  <c r="E42" i="16"/>
  <c r="U41" i="16"/>
  <c r="Q41" i="16"/>
  <c r="P41" i="16" s="1"/>
  <c r="AD41" i="16" s="1"/>
  <c r="K41" i="16"/>
  <c r="E41" i="16"/>
  <c r="U40" i="16"/>
  <c r="AE40" i="16" s="1"/>
  <c r="Q40" i="16"/>
  <c r="P40" i="16" s="1"/>
  <c r="K40" i="16"/>
  <c r="E40" i="16"/>
  <c r="U39" i="16"/>
  <c r="P39" i="16"/>
  <c r="K39" i="16"/>
  <c r="E39" i="16"/>
  <c r="C39" i="16" s="1"/>
  <c r="AC38" i="16"/>
  <c r="U38" i="16"/>
  <c r="P38" i="16"/>
  <c r="K38" i="16"/>
  <c r="E38" i="16"/>
  <c r="U37" i="16"/>
  <c r="P37" i="16"/>
  <c r="K37" i="16"/>
  <c r="E37" i="16"/>
  <c r="AC36" i="16"/>
  <c r="P36" i="16"/>
  <c r="N36" i="16" s="1"/>
  <c r="K36" i="16"/>
  <c r="E36" i="16"/>
  <c r="U35" i="16"/>
  <c r="P35" i="16"/>
  <c r="K35" i="16"/>
  <c r="E35" i="16"/>
  <c r="U34" i="16"/>
  <c r="Q34" i="16"/>
  <c r="P34" i="16" s="1"/>
  <c r="K34" i="16"/>
  <c r="E34" i="16"/>
  <c r="U33" i="16"/>
  <c r="P33" i="16"/>
  <c r="K33" i="16"/>
  <c r="E33" i="16"/>
  <c r="U32" i="16"/>
  <c r="N32" i="16" s="1"/>
  <c r="P32" i="16"/>
  <c r="K32" i="16"/>
  <c r="E32" i="16"/>
  <c r="AC31" i="16"/>
  <c r="W31" i="16"/>
  <c r="U31" i="16" s="1"/>
  <c r="Q31" i="16"/>
  <c r="P31" i="16" s="1"/>
  <c r="K31" i="16"/>
  <c r="H31" i="16"/>
  <c r="E31" i="16" s="1"/>
  <c r="AC30" i="16"/>
  <c r="U30" i="16"/>
  <c r="P30" i="16"/>
  <c r="K30" i="16"/>
  <c r="E30" i="16"/>
  <c r="U29" i="16"/>
  <c r="P29" i="16"/>
  <c r="K29" i="16"/>
  <c r="H29" i="16"/>
  <c r="E29" i="16" s="1"/>
  <c r="AC28" i="16"/>
  <c r="U28" i="16"/>
  <c r="Q28" i="16"/>
  <c r="P28" i="16" s="1"/>
  <c r="K28" i="16"/>
  <c r="E28" i="16"/>
  <c r="C28" i="16" s="1"/>
  <c r="U27" i="16"/>
  <c r="Q27" i="16"/>
  <c r="P27" i="16" s="1"/>
  <c r="K27" i="16"/>
  <c r="E27" i="16"/>
  <c r="U26" i="16"/>
  <c r="Q26" i="16"/>
  <c r="P26" i="16" s="1"/>
  <c r="K26" i="16"/>
  <c r="E26" i="16"/>
  <c r="AC25" i="16"/>
  <c r="U25" i="16"/>
  <c r="P25" i="16"/>
  <c r="K25" i="16"/>
  <c r="E25" i="16"/>
  <c r="U24" i="16"/>
  <c r="P24" i="16"/>
  <c r="K24" i="16"/>
  <c r="E24" i="16"/>
  <c r="U23" i="16"/>
  <c r="P23" i="16"/>
  <c r="K23" i="16"/>
  <c r="H23" i="16"/>
  <c r="E23" i="16" s="1"/>
  <c r="W22" i="16"/>
  <c r="U22" i="16" s="1"/>
  <c r="Q22" i="16"/>
  <c r="P22" i="16" s="1"/>
  <c r="K22" i="16"/>
  <c r="H22" i="16"/>
  <c r="E22" i="16" s="1"/>
  <c r="AC21" i="16"/>
  <c r="U21" i="16"/>
  <c r="P21" i="16"/>
  <c r="K21" i="16"/>
  <c r="H21" i="16"/>
  <c r="E21" i="16" s="1"/>
  <c r="AC20" i="16"/>
  <c r="U20" i="16"/>
  <c r="P20" i="16"/>
  <c r="K20" i="16"/>
  <c r="F20" i="16"/>
  <c r="E20" i="16" s="1"/>
  <c r="AC19" i="16"/>
  <c r="U19" i="16"/>
  <c r="Q19" i="16"/>
  <c r="P19" i="16" s="1"/>
  <c r="K19" i="16"/>
  <c r="H19" i="16"/>
  <c r="F19" i="16"/>
  <c r="AC18" i="16"/>
  <c r="U18" i="16"/>
  <c r="P18" i="16"/>
  <c r="AD18" i="16" s="1"/>
  <c r="K18" i="16"/>
  <c r="E18" i="16"/>
  <c r="U17" i="16"/>
  <c r="P17" i="16"/>
  <c r="N17" i="16" s="1"/>
  <c r="K17" i="16"/>
  <c r="E17" i="16"/>
  <c r="U16" i="16"/>
  <c r="N16" i="16" s="1"/>
  <c r="K16" i="16"/>
  <c r="E16" i="16"/>
  <c r="AD16" i="16" s="1"/>
  <c r="AC15" i="16"/>
  <c r="U15" i="16"/>
  <c r="P15" i="16"/>
  <c r="K15" i="16"/>
  <c r="H15" i="16"/>
  <c r="E15" i="16" s="1"/>
  <c r="W14" i="16"/>
  <c r="M14" i="16"/>
  <c r="H14" i="16"/>
  <c r="F14" i="16"/>
  <c r="Z12" i="16"/>
  <c r="Z11" i="16" s="1"/>
  <c r="Y12" i="16"/>
  <c r="Y11" i="16" s="1"/>
  <c r="T12" i="16"/>
  <c r="T11" i="16" s="1"/>
  <c r="R12" i="16"/>
  <c r="R11" i="16" s="1"/>
  <c r="I12" i="16"/>
  <c r="I11" i="16" s="1"/>
  <c r="G12" i="16"/>
  <c r="G11" i="16" s="1"/>
  <c r="D12" i="16"/>
  <c r="S12" i="16"/>
  <c r="S11" i="16" s="1"/>
  <c r="AA11" i="16"/>
  <c r="N19" i="16" l="1"/>
  <c r="C21" i="16"/>
  <c r="N25" i="16"/>
  <c r="AD33" i="16"/>
  <c r="AD35" i="16"/>
  <c r="C64" i="16"/>
  <c r="C68" i="16"/>
  <c r="C69" i="16"/>
  <c r="C77" i="16"/>
  <c r="L12" i="16"/>
  <c r="L11" i="16" s="1"/>
  <c r="AB45" i="16"/>
  <c r="N69" i="16"/>
  <c r="C44" i="16"/>
  <c r="C45" i="16"/>
  <c r="C47" i="16"/>
  <c r="C74" i="16"/>
  <c r="C85" i="16"/>
  <c r="C86" i="16"/>
  <c r="C89" i="16"/>
  <c r="AE26" i="16"/>
  <c r="C32" i="16"/>
  <c r="C36" i="16"/>
  <c r="C43" i="16"/>
  <c r="N44" i="16"/>
  <c r="AD49" i="16"/>
  <c r="AD53" i="16"/>
  <c r="C67" i="16"/>
  <c r="N83" i="16"/>
  <c r="M15" i="7"/>
  <c r="F16" i="7"/>
  <c r="AY20" i="7"/>
  <c r="J31" i="7"/>
  <c r="N32" i="7"/>
  <c r="M32" i="7" s="1"/>
  <c r="Q31" i="7"/>
  <c r="AY31" i="7" s="1"/>
  <c r="AE31" i="7"/>
  <c r="E36" i="7"/>
  <c r="X38" i="7"/>
  <c r="E39" i="7"/>
  <c r="AE22" i="16"/>
  <c r="AD23" i="16"/>
  <c r="AD24" i="16"/>
  <c r="AE42" i="16"/>
  <c r="N51" i="16"/>
  <c r="N52" i="16"/>
  <c r="N54" i="16"/>
  <c r="AD55" i="16"/>
  <c r="AD58" i="16"/>
  <c r="AD59" i="16"/>
  <c r="AD60" i="16"/>
  <c r="N61" i="16"/>
  <c r="C72" i="16"/>
  <c r="C73" i="16"/>
  <c r="V14" i="7"/>
  <c r="E19" i="7"/>
  <c r="E25" i="7"/>
  <c r="E28" i="7"/>
  <c r="W33" i="7"/>
  <c r="I31" i="7"/>
  <c r="I12" i="7" s="1"/>
  <c r="M36" i="7"/>
  <c r="V38" i="7"/>
  <c r="N39" i="7"/>
  <c r="M39" i="7" s="1"/>
  <c r="AR40" i="7"/>
  <c r="G31" i="3"/>
  <c r="N15" i="16"/>
  <c r="C16" i="16"/>
  <c r="C50" i="16"/>
  <c r="C52" i="16"/>
  <c r="AB52" i="16" s="1"/>
  <c r="C53" i="16"/>
  <c r="C54" i="16"/>
  <c r="AB54" i="16" s="1"/>
  <c r="C55" i="16"/>
  <c r="AB55" i="16" s="1"/>
  <c r="C78" i="16"/>
  <c r="C80" i="16"/>
  <c r="AC90" i="16"/>
  <c r="U15" i="7"/>
  <c r="AD16" i="7"/>
  <c r="D18" i="7"/>
  <c r="M19" i="7"/>
  <c r="AU19" i="7" s="1"/>
  <c r="AD19" i="7"/>
  <c r="V20" i="7"/>
  <c r="M22" i="7"/>
  <c r="AD22" i="7"/>
  <c r="D24" i="7"/>
  <c r="M28" i="7"/>
  <c r="E29" i="7"/>
  <c r="F30" i="7"/>
  <c r="X37" i="7"/>
  <c r="V41" i="7"/>
  <c r="N46" i="16"/>
  <c r="Z31" i="7"/>
  <c r="Z12" i="7" s="1"/>
  <c r="U14" i="16"/>
  <c r="W12" i="16"/>
  <c r="W11" i="16" s="1"/>
  <c r="AY18" i="7"/>
  <c r="N21" i="16"/>
  <c r="C23" i="16"/>
  <c r="C25" i="16"/>
  <c r="AB25" i="16" s="1"/>
  <c r="C30" i="16"/>
  <c r="AE31" i="16"/>
  <c r="N33" i="16"/>
  <c r="C48" i="16"/>
  <c r="AD51" i="16"/>
  <c r="N53" i="16"/>
  <c r="AB53" i="16" s="1"/>
  <c r="N64" i="16"/>
  <c r="N71" i="16"/>
  <c r="N85" i="16"/>
  <c r="AE94" i="16"/>
  <c r="N110" i="16"/>
  <c r="K12" i="7"/>
  <c r="AS13" i="7"/>
  <c r="V16" i="7"/>
  <c r="W17" i="7"/>
  <c r="E33" i="7"/>
  <c r="AR36" i="7"/>
  <c r="AV37" i="7"/>
  <c r="F12" i="16"/>
  <c r="F11" i="16" s="1"/>
  <c r="N48" i="16"/>
  <c r="AB48" i="16" s="1"/>
  <c r="AD17" i="7"/>
  <c r="D28" i="7"/>
  <c r="C28" i="7" s="1"/>
  <c r="X40" i="7"/>
  <c r="U40" i="7" s="1"/>
  <c r="M12" i="16"/>
  <c r="M11" i="16" s="1"/>
  <c r="C24" i="16"/>
  <c r="C29" i="16"/>
  <c r="H12" i="16"/>
  <c r="H11" i="16" s="1"/>
  <c r="AD43" i="16"/>
  <c r="C49" i="16"/>
  <c r="AB49" i="16" s="1"/>
  <c r="N50" i="16"/>
  <c r="C62" i="16"/>
  <c r="N68" i="16"/>
  <c r="N86" i="16"/>
  <c r="AE93" i="16"/>
  <c r="AB12" i="7"/>
  <c r="AD14" i="7"/>
  <c r="AY15" i="7"/>
  <c r="D17" i="7"/>
  <c r="AY17" i="7"/>
  <c r="U19" i="7"/>
  <c r="F21" i="7"/>
  <c r="D22" i="7"/>
  <c r="M30" i="7"/>
  <c r="O31" i="7"/>
  <c r="AW31" i="7" s="1"/>
  <c r="F32" i="7"/>
  <c r="AR34" i="7"/>
  <c r="AD35" i="7"/>
  <c r="AR38" i="7"/>
  <c r="AO37" i="7"/>
  <c r="N37" i="16"/>
  <c r="C41" i="16"/>
  <c r="AB43" i="16"/>
  <c r="N66" i="16"/>
  <c r="AE98" i="16"/>
  <c r="Q14" i="16"/>
  <c r="P14" i="16" s="1"/>
  <c r="C26" i="16"/>
  <c r="AE27" i="16"/>
  <c r="C31" i="16"/>
  <c r="AB32" i="16"/>
  <c r="C40" i="16"/>
  <c r="AD45" i="16"/>
  <c r="N47" i="16"/>
  <c r="C51" i="16"/>
  <c r="N65" i="16"/>
  <c r="N72" i="16"/>
  <c r="C76" i="16"/>
  <c r="C79" i="16"/>
  <c r="C83" i="16"/>
  <c r="AJ12" i="7"/>
  <c r="M29" i="7"/>
  <c r="AD37" i="7"/>
  <c r="M38" i="7"/>
  <c r="C32" i="3"/>
  <c r="AD21" i="7"/>
  <c r="Y12" i="7"/>
  <c r="AR15" i="7"/>
  <c r="AD31" i="16"/>
  <c r="N38" i="16"/>
  <c r="AD46" i="16"/>
  <c r="C87" i="16"/>
  <c r="AE99" i="16"/>
  <c r="AD15" i="7"/>
  <c r="AU15" i="7" s="1"/>
  <c r="E18" i="7"/>
  <c r="C18" i="7" s="1"/>
  <c r="AY19" i="7"/>
  <c r="E22" i="7"/>
  <c r="C22" i="7" s="1"/>
  <c r="U27" i="7"/>
  <c r="T27" i="7" s="1"/>
  <c r="AY33" i="7"/>
  <c r="AR37" i="7"/>
  <c r="F53" i="3"/>
  <c r="J12" i="16"/>
  <c r="J11" i="16" s="1"/>
  <c r="AC13" i="16"/>
  <c r="AD56" i="16"/>
  <c r="N56" i="16"/>
  <c r="AD34" i="16"/>
  <c r="N34" i="16"/>
  <c r="E14" i="16"/>
  <c r="C17" i="16"/>
  <c r="AB17" i="16" s="1"/>
  <c r="N18" i="16"/>
  <c r="E19" i="16"/>
  <c r="C19" i="16" s="1"/>
  <c r="C20" i="16"/>
  <c r="C22" i="16"/>
  <c r="C27" i="16"/>
  <c r="AD32" i="16"/>
  <c r="C34" i="16"/>
  <c r="N35" i="16"/>
  <c r="AD36" i="16"/>
  <c r="AD37" i="16"/>
  <c r="AD38" i="16"/>
  <c r="AD44" i="16"/>
  <c r="C46" i="16"/>
  <c r="AB46" i="16" s="1"/>
  <c r="AD48" i="16"/>
  <c r="AD50" i="16"/>
  <c r="AD52" i="16"/>
  <c r="AD54" i="16"/>
  <c r="C56" i="16"/>
  <c r="AE56" i="16"/>
  <c r="C66" i="16"/>
  <c r="N67" i="16"/>
  <c r="C70" i="16"/>
  <c r="C71" i="16"/>
  <c r="C75" i="16"/>
  <c r="N80" i="16"/>
  <c r="N81" i="16"/>
  <c r="C84" i="16"/>
  <c r="C90" i="16"/>
  <c r="AE101" i="16"/>
  <c r="AD17" i="16"/>
  <c r="AD20" i="16"/>
  <c r="AD21" i="16"/>
  <c r="N26" i="16"/>
  <c r="AB36" i="16"/>
  <c r="AD39" i="16"/>
  <c r="AE41" i="16"/>
  <c r="N58" i="16"/>
  <c r="N59" i="16"/>
  <c r="N89" i="16"/>
  <c r="AE96" i="16"/>
  <c r="AE97" i="16"/>
  <c r="AB19" i="16"/>
  <c r="AC12" i="16"/>
  <c r="C15" i="16"/>
  <c r="AB16" i="16"/>
  <c r="C18" i="16"/>
  <c r="N20" i="16"/>
  <c r="N22" i="16"/>
  <c r="C33" i="16"/>
  <c r="C38" i="16"/>
  <c r="N41" i="16"/>
  <c r="C42" i="16"/>
  <c r="C58" i="16"/>
  <c r="C59" i="16"/>
  <c r="C60" i="16"/>
  <c r="N63" i="16"/>
  <c r="N74" i="16"/>
  <c r="N75" i="16"/>
  <c r="N77" i="16"/>
  <c r="C81" i="16"/>
  <c r="C82" i="16"/>
  <c r="N84" i="16"/>
  <c r="X90" i="16"/>
  <c r="X12" i="16" s="1"/>
  <c r="X11" i="16" s="1"/>
  <c r="N111" i="16"/>
  <c r="N112" i="16"/>
  <c r="K32" i="3"/>
  <c r="K33" i="3"/>
  <c r="F33" i="3"/>
  <c r="I33" i="3" s="1"/>
  <c r="AZ13" i="7"/>
  <c r="AD18" i="7"/>
  <c r="AU18" i="7" s="1"/>
  <c r="V19" i="7"/>
  <c r="M21" i="7"/>
  <c r="AU21" i="7" s="1"/>
  <c r="AR22" i="7"/>
  <c r="E23" i="7"/>
  <c r="AZ31" i="7"/>
  <c r="V34" i="7"/>
  <c r="AY38" i="7"/>
  <c r="V39" i="7"/>
  <c r="AM39" i="7" s="1"/>
  <c r="AV41" i="7"/>
  <c r="U29" i="7"/>
  <c r="T29" i="7" s="1"/>
  <c r="AV32" i="7"/>
  <c r="E34" i="7"/>
  <c r="N34" i="7"/>
  <c r="AV34" i="7" s="1"/>
  <c r="AM36" i="7"/>
  <c r="AV36" i="7"/>
  <c r="AY39" i="7"/>
  <c r="AD39" i="7"/>
  <c r="AU39" i="7" s="1"/>
  <c r="AW40" i="7"/>
  <c r="AY41" i="7"/>
  <c r="D15" i="7"/>
  <c r="C15" i="7" s="1"/>
  <c r="W16" i="7"/>
  <c r="AY16" i="7"/>
  <c r="F17" i="7"/>
  <c r="M20" i="7"/>
  <c r="AD20" i="7"/>
  <c r="W21" i="7"/>
  <c r="AY21" i="7"/>
  <c r="U22" i="7"/>
  <c r="M23" i="7"/>
  <c r="E24" i="7"/>
  <c r="C24" i="7" s="1"/>
  <c r="E26" i="7"/>
  <c r="C26" i="7" s="1"/>
  <c r="E27" i="7"/>
  <c r="D30" i="7"/>
  <c r="C30" i="7" s="1"/>
  <c r="AO32" i="7"/>
  <c r="AY32" i="7"/>
  <c r="AR33" i="7"/>
  <c r="AR35" i="7"/>
  <c r="AY36" i="7"/>
  <c r="AY37" i="7"/>
  <c r="AY40" i="7"/>
  <c r="X41" i="7"/>
  <c r="W15" i="7"/>
  <c r="T19" i="7"/>
  <c r="U23" i="7"/>
  <c r="Q13" i="7"/>
  <c r="AH13" i="7"/>
  <c r="AY13" i="7" s="1"/>
  <c r="M17" i="7"/>
  <c r="AU17" i="7" s="1"/>
  <c r="W18" i="7"/>
  <c r="F19" i="7"/>
  <c r="W20" i="7"/>
  <c r="M24" i="7"/>
  <c r="M26" i="7"/>
  <c r="AA32" i="7"/>
  <c r="V33" i="7"/>
  <c r="AD33" i="7"/>
  <c r="X36" i="7"/>
  <c r="V37" i="7"/>
  <c r="AV38" i="7"/>
  <c r="V40" i="7"/>
  <c r="AM40" i="7" s="1"/>
  <c r="V15" i="7"/>
  <c r="AM15" i="7" s="1"/>
  <c r="I48" i="3"/>
  <c r="I40" i="3"/>
  <c r="K21" i="3"/>
  <c r="K50" i="3"/>
  <c r="F57" i="3"/>
  <c r="I57" i="3" s="1"/>
  <c r="E63" i="3"/>
  <c r="K63" i="3" s="1"/>
  <c r="I47" i="3"/>
  <c r="F35" i="3"/>
  <c r="K24" i="3"/>
  <c r="I52" i="3"/>
  <c r="F11" i="3"/>
  <c r="I36" i="3"/>
  <c r="I44" i="3"/>
  <c r="J35" i="3"/>
  <c r="J39" i="3"/>
  <c r="J50" i="3"/>
  <c r="J81" i="3"/>
  <c r="K31" i="3"/>
  <c r="F39" i="3"/>
  <c r="I43" i="3"/>
  <c r="I56" i="3"/>
  <c r="I83" i="3"/>
  <c r="I51" i="3"/>
  <c r="I55" i="3"/>
  <c r="I58" i="3"/>
  <c r="J68" i="3"/>
  <c r="E78" i="3"/>
  <c r="K78" i="3" s="1"/>
  <c r="F81" i="3"/>
  <c r="I50" i="3"/>
  <c r="K53" i="3"/>
  <c r="I14" i="3"/>
  <c r="K14" i="3"/>
  <c r="I29" i="3"/>
  <c r="J31" i="3"/>
  <c r="I37" i="3"/>
  <c r="I41" i="3"/>
  <c r="I42" i="3"/>
  <c r="J53" i="3"/>
  <c r="C53" i="3"/>
  <c r="F68" i="3"/>
  <c r="I68" i="3" s="1"/>
  <c r="J78" i="3"/>
  <c r="I84" i="3"/>
  <c r="E81" i="3"/>
  <c r="K81" i="3" s="1"/>
  <c r="F63" i="3"/>
  <c r="I63" i="3" s="1"/>
  <c r="I45" i="3"/>
  <c r="G46" i="3"/>
  <c r="G38" i="3" s="1"/>
  <c r="J63" i="3"/>
  <c r="I66" i="3"/>
  <c r="D17" i="3"/>
  <c r="K64" i="3"/>
  <c r="K85" i="3"/>
  <c r="H10" i="3"/>
  <c r="H9" i="3" s="1"/>
  <c r="G23" i="3"/>
  <c r="F32" i="3"/>
  <c r="J32" i="3"/>
  <c r="C35" i="3"/>
  <c r="C39" i="3"/>
  <c r="D46" i="3"/>
  <c r="H46" i="3"/>
  <c r="H38" i="3" s="1"/>
  <c r="H34" i="3" s="1"/>
  <c r="H30" i="3" s="1"/>
  <c r="I49" i="3"/>
  <c r="I71" i="3"/>
  <c r="F78" i="3"/>
  <c r="I78" i="3" s="1"/>
  <c r="C81" i="3"/>
  <c r="H23" i="3"/>
  <c r="K23" i="3" s="1"/>
  <c r="J33" i="3"/>
  <c r="I54" i="3"/>
  <c r="E68" i="3"/>
  <c r="K68" i="3" s="1"/>
  <c r="D12" i="3"/>
  <c r="C19" i="3"/>
  <c r="F24" i="3"/>
  <c r="I24" i="3" s="1"/>
  <c r="AM19" i="7"/>
  <c r="AU16" i="7"/>
  <c r="AN14" i="7"/>
  <c r="W24" i="7"/>
  <c r="U24" i="7"/>
  <c r="AO27" i="7"/>
  <c r="W28" i="7"/>
  <c r="U28" i="7"/>
  <c r="J13" i="7"/>
  <c r="J12" i="7" s="1"/>
  <c r="N13" i="7"/>
  <c r="D14" i="7"/>
  <c r="AR14" i="7"/>
  <c r="F15" i="7"/>
  <c r="D16" i="7"/>
  <c r="E17" i="7"/>
  <c r="C17" i="7" s="1"/>
  <c r="U17" i="7"/>
  <c r="F18" i="7"/>
  <c r="V18" i="7"/>
  <c r="AM18" i="7" s="1"/>
  <c r="W19" i="7"/>
  <c r="D20" i="7"/>
  <c r="C20" i="7" s="1"/>
  <c r="E21" i="7"/>
  <c r="C21" i="7" s="1"/>
  <c r="U21" i="7"/>
  <c r="F22" i="7"/>
  <c r="V22" i="7"/>
  <c r="F24" i="7"/>
  <c r="W26" i="7"/>
  <c r="F28" i="7"/>
  <c r="AS31" i="7"/>
  <c r="F37" i="7"/>
  <c r="D37" i="7"/>
  <c r="D38" i="7"/>
  <c r="F38" i="7"/>
  <c r="AO39" i="7"/>
  <c r="W39" i="7"/>
  <c r="U39" i="7"/>
  <c r="U41" i="7"/>
  <c r="AO41" i="7"/>
  <c r="W41" i="7"/>
  <c r="F27" i="7"/>
  <c r="AN27" i="7" s="1"/>
  <c r="D27" i="7"/>
  <c r="C27" i="7" s="1"/>
  <c r="G36" i="7"/>
  <c r="G31" i="7" s="1"/>
  <c r="H31" i="7"/>
  <c r="H12" i="7" s="1"/>
  <c r="AP12" i="7" s="1"/>
  <c r="U38" i="7"/>
  <c r="AO38" i="7"/>
  <c r="W38" i="7"/>
  <c r="M40" i="7"/>
  <c r="AU40" i="7" s="1"/>
  <c r="AV40" i="7"/>
  <c r="G13" i="7"/>
  <c r="AA13" i="7"/>
  <c r="AE13" i="7"/>
  <c r="AE12" i="7" s="1"/>
  <c r="E14" i="7"/>
  <c r="M14" i="7"/>
  <c r="U14" i="7"/>
  <c r="E16" i="7"/>
  <c r="AM16" i="7" s="1"/>
  <c r="U16" i="7"/>
  <c r="T16" i="7" s="1"/>
  <c r="V17" i="7"/>
  <c r="D19" i="7"/>
  <c r="C19" i="7" s="1"/>
  <c r="E20" i="7"/>
  <c r="AM20" i="7" s="1"/>
  <c r="U20" i="7"/>
  <c r="T20" i="7" s="1"/>
  <c r="V21" i="7"/>
  <c r="W22" i="7"/>
  <c r="F23" i="7"/>
  <c r="AN23" i="7" s="1"/>
  <c r="D23" i="7"/>
  <c r="V23" i="7"/>
  <c r="AR23" i="7"/>
  <c r="F26" i="7"/>
  <c r="M27" i="7"/>
  <c r="AO28" i="7"/>
  <c r="D29" i="7"/>
  <c r="C29" i="7" s="1"/>
  <c r="F29" i="7"/>
  <c r="AN29" i="7" s="1"/>
  <c r="AO29" i="7"/>
  <c r="U30" i="7"/>
  <c r="T30" i="7" s="1"/>
  <c r="AK30" i="7" s="1"/>
  <c r="W30" i="7"/>
  <c r="F33" i="7"/>
  <c r="AN33" i="7" s="1"/>
  <c r="F40" i="7"/>
  <c r="D40" i="7"/>
  <c r="C40" i="7" s="1"/>
  <c r="D41" i="7"/>
  <c r="F41" i="7"/>
  <c r="AI12" i="7"/>
  <c r="AZ12" i="7" s="1"/>
  <c r="X13" i="7"/>
  <c r="D25" i="7"/>
  <c r="C25" i="7" s="1"/>
  <c r="AK25" i="7" s="1"/>
  <c r="F25" i="7"/>
  <c r="W34" i="7"/>
  <c r="AO34" i="7"/>
  <c r="U34" i="7"/>
  <c r="D35" i="7"/>
  <c r="AO35" i="7"/>
  <c r="F35" i="7"/>
  <c r="AN35" i="7" s="1"/>
  <c r="F39" i="7"/>
  <c r="D39" i="7"/>
  <c r="D32" i="7"/>
  <c r="AL32" i="7" s="1"/>
  <c r="V32" i="7"/>
  <c r="T32" i="7" s="1"/>
  <c r="N33" i="7"/>
  <c r="U33" i="7"/>
  <c r="F34" i="7"/>
  <c r="AY34" i="7"/>
  <c r="E35" i="7"/>
  <c r="M37" i="7"/>
  <c r="U37" i="7"/>
  <c r="E38" i="7"/>
  <c r="AM38" i="7" s="1"/>
  <c r="AR39" i="7"/>
  <c r="E41" i="7"/>
  <c r="AM41" i="7" s="1"/>
  <c r="W32" i="7"/>
  <c r="AD32" i="7"/>
  <c r="AO33" i="7"/>
  <c r="AV33" i="7"/>
  <c r="M35" i="7"/>
  <c r="AU35" i="7" s="1"/>
  <c r="U35" i="7"/>
  <c r="AV35" i="7"/>
  <c r="AD36" i="7"/>
  <c r="AU36" i="7" s="1"/>
  <c r="AW36" i="7"/>
  <c r="AD38" i="7"/>
  <c r="AD41" i="7"/>
  <c r="AU41" i="7" s="1"/>
  <c r="V35" i="7"/>
  <c r="E37" i="7"/>
  <c r="AM37" i="7" s="1"/>
  <c r="W37" i="7"/>
  <c r="AB15" i="16"/>
  <c r="AD15" i="16"/>
  <c r="AB21" i="16"/>
  <c r="D11" i="16"/>
  <c r="K14" i="16"/>
  <c r="AD19" i="16"/>
  <c r="AD22" i="16"/>
  <c r="AD26" i="16"/>
  <c r="AD28" i="16"/>
  <c r="N28" i="16"/>
  <c r="AB28" i="16" s="1"/>
  <c r="N31" i="16"/>
  <c r="AB31" i="16" s="1"/>
  <c r="C35" i="16"/>
  <c r="AD27" i="16"/>
  <c r="N27" i="16"/>
  <c r="AB44" i="16"/>
  <c r="AD62" i="16"/>
  <c r="N62" i="16"/>
  <c r="N40" i="16"/>
  <c r="AD40" i="16"/>
  <c r="N42" i="16"/>
  <c r="AD42" i="16"/>
  <c r="AB22" i="16"/>
  <c r="AD29" i="16"/>
  <c r="N30" i="16"/>
  <c r="AB30" i="16" s="1"/>
  <c r="C37" i="16"/>
  <c r="AB37" i="16" s="1"/>
  <c r="C61" i="16"/>
  <c r="C65" i="16"/>
  <c r="N70" i="16"/>
  <c r="AD25" i="16"/>
  <c r="AD30" i="16"/>
  <c r="N99" i="16"/>
  <c r="N60" i="16"/>
  <c r="U90" i="16"/>
  <c r="AE90" i="16" s="1"/>
  <c r="N94" i="16"/>
  <c r="N97" i="16"/>
  <c r="AD103" i="16"/>
  <c r="AD104" i="16"/>
  <c r="AD105" i="16"/>
  <c r="AD106" i="16"/>
  <c r="AD107" i="16"/>
  <c r="AD108" i="16"/>
  <c r="AD109" i="16"/>
  <c r="N23" i="16"/>
  <c r="N24" i="16"/>
  <c r="AB24" i="16" s="1"/>
  <c r="N29" i="16"/>
  <c r="AB29" i="16" s="1"/>
  <c r="N39" i="16"/>
  <c r="AB39" i="16" s="1"/>
  <c r="N93" i="16"/>
  <c r="N96" i="16"/>
  <c r="E102" i="16"/>
  <c r="AB33" i="16" l="1"/>
  <c r="AB47" i="16"/>
  <c r="AB50" i="16"/>
  <c r="AB60" i="16"/>
  <c r="AB51" i="16"/>
  <c r="AB23" i="16"/>
  <c r="N90" i="16"/>
  <c r="O12" i="7"/>
  <c r="AW12" i="7" s="1"/>
  <c r="AN15" i="7"/>
  <c r="AS12" i="7"/>
  <c r="AB27" i="16"/>
  <c r="AB40" i="16"/>
  <c r="C39" i="7"/>
  <c r="AK20" i="7"/>
  <c r="AH12" i="7"/>
  <c r="AY12" i="7" s="1"/>
  <c r="AO36" i="7"/>
  <c r="Q12" i="7"/>
  <c r="AU20" i="7"/>
  <c r="AV39" i="7"/>
  <c r="AB18" i="16"/>
  <c r="AU37" i="7"/>
  <c r="U12" i="16"/>
  <c r="AB35" i="16"/>
  <c r="W36" i="7"/>
  <c r="AB59" i="16"/>
  <c r="U36" i="7"/>
  <c r="T36" i="7" s="1"/>
  <c r="AB42" i="16"/>
  <c r="AO40" i="7"/>
  <c r="AB41" i="16"/>
  <c r="AB56" i="16"/>
  <c r="X31" i="7"/>
  <c r="AO31" i="7" s="1"/>
  <c r="AU38" i="7"/>
  <c r="AK19" i="7"/>
  <c r="F31" i="3"/>
  <c r="I31" i="3" s="1"/>
  <c r="AB38" i="16"/>
  <c r="AB20" i="16"/>
  <c r="Q12" i="16"/>
  <c r="Q11" i="16" s="1"/>
  <c r="AM33" i="7"/>
  <c r="W40" i="7"/>
  <c r="AN40" i="7" s="1"/>
  <c r="M34" i="7"/>
  <c r="AU34" i="7" s="1"/>
  <c r="AL29" i="7"/>
  <c r="AB62" i="16"/>
  <c r="AN37" i="7"/>
  <c r="C23" i="7"/>
  <c r="AM22" i="7"/>
  <c r="D34" i="7"/>
  <c r="AB26" i="16"/>
  <c r="AD57" i="16"/>
  <c r="AE14" i="16"/>
  <c r="AD14" i="16"/>
  <c r="N14" i="16"/>
  <c r="AB34" i="16"/>
  <c r="AB58" i="16"/>
  <c r="AL25" i="7"/>
  <c r="T18" i="7"/>
  <c r="AK18" i="7" s="1"/>
  <c r="AR32" i="7"/>
  <c r="AA31" i="7"/>
  <c r="AR31" i="7" s="1"/>
  <c r="C34" i="7"/>
  <c r="AM34" i="7"/>
  <c r="AK29" i="7"/>
  <c r="AM23" i="7"/>
  <c r="AN39" i="7"/>
  <c r="C37" i="7"/>
  <c r="F13" i="7"/>
  <c r="AD13" i="7"/>
  <c r="AN34" i="7"/>
  <c r="M13" i="7"/>
  <c r="G12" i="7"/>
  <c r="AL27" i="7"/>
  <c r="V13" i="7"/>
  <c r="AM13" i="7" s="1"/>
  <c r="AP31" i="7"/>
  <c r="T15" i="7"/>
  <c r="AK15" i="7" s="1"/>
  <c r="C46" i="3"/>
  <c r="C38" i="3" s="1"/>
  <c r="F46" i="3"/>
  <c r="F38" i="3" s="1"/>
  <c r="F34" i="3" s="1"/>
  <c r="I53" i="3"/>
  <c r="I81" i="3"/>
  <c r="E46" i="3"/>
  <c r="K46" i="3" s="1"/>
  <c r="G21" i="3"/>
  <c r="G34" i="3"/>
  <c r="G30" i="3" s="1"/>
  <c r="I19" i="3"/>
  <c r="C12" i="3"/>
  <c r="J46" i="3"/>
  <c r="D38" i="3"/>
  <c r="I35" i="3"/>
  <c r="E35" i="3"/>
  <c r="J23" i="3"/>
  <c r="F23" i="3"/>
  <c r="I23" i="3" s="1"/>
  <c r="C17" i="3"/>
  <c r="I17" i="3" s="1"/>
  <c r="J17" i="3"/>
  <c r="H8" i="3"/>
  <c r="D11" i="3"/>
  <c r="J12" i="3"/>
  <c r="I39" i="3"/>
  <c r="I32" i="3"/>
  <c r="AL35" i="7"/>
  <c r="T35" i="7"/>
  <c r="AL40" i="7"/>
  <c r="T40" i="7"/>
  <c r="AK40" i="7" s="1"/>
  <c r="C32" i="7"/>
  <c r="AL34" i="7"/>
  <c r="T34" i="7"/>
  <c r="T23" i="7"/>
  <c r="C41" i="7"/>
  <c r="E13" i="7"/>
  <c r="AL38" i="7"/>
  <c r="T38" i="7"/>
  <c r="AK27" i="7"/>
  <c r="T21" i="7"/>
  <c r="AK21" i="7" s="1"/>
  <c r="C16" i="7"/>
  <c r="AK16" i="7" s="1"/>
  <c r="D13" i="7"/>
  <c r="C14" i="7"/>
  <c r="AN28" i="7"/>
  <c r="AM14" i="7"/>
  <c r="W13" i="7"/>
  <c r="AN41" i="7"/>
  <c r="AL26" i="7"/>
  <c r="T26" i="7"/>
  <c r="AK26" i="7" s="1"/>
  <c r="T28" i="7"/>
  <c r="AK28" i="7" s="1"/>
  <c r="AL28" i="7"/>
  <c r="AU32" i="7"/>
  <c r="AD31" i="7"/>
  <c r="AD12" i="7" s="1"/>
  <c r="E31" i="7"/>
  <c r="T33" i="7"/>
  <c r="X12" i="7"/>
  <c r="AO12" i="7" s="1"/>
  <c r="AN22" i="7"/>
  <c r="AL41" i="7"/>
  <c r="T41" i="7"/>
  <c r="AK41" i="7" s="1"/>
  <c r="AU14" i="7"/>
  <c r="AL37" i="7"/>
  <c r="T37" i="7"/>
  <c r="V31" i="7"/>
  <c r="AM32" i="7"/>
  <c r="AM35" i="7"/>
  <c r="AN32" i="7"/>
  <c r="M33" i="7"/>
  <c r="N31" i="7"/>
  <c r="AV31" i="7" s="1"/>
  <c r="C35" i="7"/>
  <c r="D33" i="7"/>
  <c r="C33" i="7" s="1"/>
  <c r="AM21" i="7"/>
  <c r="AM17" i="7"/>
  <c r="U13" i="7"/>
  <c r="T14" i="7"/>
  <c r="AR13" i="7"/>
  <c r="AA12" i="7"/>
  <c r="AR12" i="7" s="1"/>
  <c r="AN38" i="7"/>
  <c r="D36" i="7"/>
  <c r="C36" i="7" s="1"/>
  <c r="F36" i="7"/>
  <c r="AL39" i="7"/>
  <c r="T39" i="7"/>
  <c r="AK39" i="7" s="1"/>
  <c r="C38" i="7"/>
  <c r="T17" i="7"/>
  <c r="AK17" i="7" s="1"/>
  <c r="AL24" i="7"/>
  <c r="T24" i="7"/>
  <c r="AK24" i="7" s="1"/>
  <c r="T22" i="7"/>
  <c r="AK22" i="7" s="1"/>
  <c r="C14" i="16"/>
  <c r="AD102" i="16"/>
  <c r="C102" i="16"/>
  <c r="AB102" i="16" s="1"/>
  <c r="AC11" i="16"/>
  <c r="AK34" i="7" l="1"/>
  <c r="U31" i="7"/>
  <c r="AU13" i="7"/>
  <c r="AE13" i="16"/>
  <c r="K12" i="16"/>
  <c r="K11" i="16" s="1"/>
  <c r="C31" i="7"/>
  <c r="F30" i="3"/>
  <c r="AB14" i="16"/>
  <c r="W31" i="7"/>
  <c r="U12" i="7"/>
  <c r="C13" i="7"/>
  <c r="C12" i="7" s="1"/>
  <c r="AN36" i="7"/>
  <c r="AK23" i="7"/>
  <c r="N12" i="16"/>
  <c r="N11" i="16" s="1"/>
  <c r="AD13" i="16"/>
  <c r="P12" i="16"/>
  <c r="AB57" i="16"/>
  <c r="AK37" i="7"/>
  <c r="AL33" i="7"/>
  <c r="AK32" i="7"/>
  <c r="AK38" i="7"/>
  <c r="T13" i="7"/>
  <c r="AM31" i="7"/>
  <c r="J21" i="3"/>
  <c r="F21" i="3"/>
  <c r="G10" i="3"/>
  <c r="G9" i="3" s="1"/>
  <c r="G8" i="3" s="1"/>
  <c r="F8" i="3" s="1"/>
  <c r="K35" i="3"/>
  <c r="I12" i="3"/>
  <c r="E12" i="3"/>
  <c r="K12" i="3" s="1"/>
  <c r="C11" i="3"/>
  <c r="D10" i="3"/>
  <c r="J11" i="3"/>
  <c r="I38" i="3"/>
  <c r="E38" i="3"/>
  <c r="K38" i="3" s="1"/>
  <c r="I46" i="3"/>
  <c r="J38" i="3"/>
  <c r="D34" i="3"/>
  <c r="C34" i="3"/>
  <c r="AK14" i="7"/>
  <c r="AL36" i="7"/>
  <c r="V12" i="7"/>
  <c r="E12" i="7"/>
  <c r="F31" i="7"/>
  <c r="F12" i="7" s="1"/>
  <c r="W12" i="7"/>
  <c r="AN13" i="7"/>
  <c r="D31" i="7"/>
  <c r="D12" i="7" s="1"/>
  <c r="AK35" i="7"/>
  <c r="N12" i="7"/>
  <c r="AV12" i="7" s="1"/>
  <c r="T31" i="7"/>
  <c r="AK31" i="7" s="1"/>
  <c r="M31" i="7"/>
  <c r="M12" i="7" s="1"/>
  <c r="AU12" i="7" s="1"/>
  <c r="AU33" i="7"/>
  <c r="AK36" i="7"/>
  <c r="AK33" i="7"/>
  <c r="E12" i="16"/>
  <c r="U11" i="16"/>
  <c r="AN12" i="7" l="1"/>
  <c r="AE12" i="16"/>
  <c r="AE11" i="16"/>
  <c r="AD12" i="16"/>
  <c r="AL12" i="7"/>
  <c r="P11" i="16"/>
  <c r="AB13" i="16"/>
  <c r="AL31" i="7"/>
  <c r="AM12" i="7"/>
  <c r="I21" i="3"/>
  <c r="F10" i="3"/>
  <c r="F9" i="3" s="1"/>
  <c r="J10" i="3"/>
  <c r="D9" i="3"/>
  <c r="I34" i="3"/>
  <c r="C30" i="3"/>
  <c r="I11" i="3"/>
  <c r="E11" i="3"/>
  <c r="C10" i="3"/>
  <c r="C9" i="3" s="1"/>
  <c r="E34" i="3"/>
  <c r="K34" i="3" s="1"/>
  <c r="J34" i="3"/>
  <c r="D30" i="3"/>
  <c r="J30" i="3" s="1"/>
  <c r="AK13" i="7"/>
  <c r="T12" i="7"/>
  <c r="AK12" i="7" s="1"/>
  <c r="AU31" i="7"/>
  <c r="AN31" i="7"/>
  <c r="E11" i="16"/>
  <c r="C11" i="16" s="1"/>
  <c r="C12" i="16"/>
  <c r="AB12" i="16" s="1"/>
  <c r="E10" i="3" l="1"/>
  <c r="K11" i="3"/>
  <c r="D8" i="3"/>
  <c r="J8" i="3" s="1"/>
  <c r="J9" i="3"/>
  <c r="I30" i="3"/>
  <c r="E30" i="3"/>
  <c r="K30" i="3" s="1"/>
  <c r="I10" i="3"/>
  <c r="AD11" i="16"/>
  <c r="AB11" i="16"/>
  <c r="K10" i="3" l="1"/>
  <c r="E9" i="3"/>
  <c r="C8" i="3"/>
  <c r="I8" i="3" s="1"/>
  <c r="I9" i="3"/>
  <c r="K9" i="3" l="1"/>
  <c r="E8" i="3"/>
  <c r="K8" i="3" s="1"/>
  <c r="E38" i="4" l="1"/>
  <c r="E39" i="4"/>
  <c r="E40" i="4"/>
  <c r="E41" i="4"/>
  <c r="E42" i="4"/>
  <c r="E43" i="4"/>
  <c r="G68" i="2"/>
  <c r="H68" i="2"/>
  <c r="G69" i="2"/>
  <c r="H69" i="2"/>
  <c r="G70" i="2"/>
  <c r="H70" i="2"/>
  <c r="G71" i="2"/>
  <c r="G72" i="2"/>
  <c r="G73" i="2"/>
  <c r="G74" i="2"/>
  <c r="G75" i="2"/>
  <c r="G58" i="2"/>
  <c r="H58" i="2"/>
  <c r="G59" i="2"/>
  <c r="G60" i="2"/>
  <c r="G61" i="2"/>
  <c r="G62" i="2"/>
  <c r="H62" i="2"/>
  <c r="G63" i="2"/>
  <c r="H63" i="2"/>
  <c r="G65" i="2"/>
  <c r="H65" i="2"/>
  <c r="G66" i="2"/>
  <c r="H66" i="2"/>
  <c r="G67" i="2"/>
  <c r="H67" i="2"/>
  <c r="F75" i="2"/>
  <c r="H75" i="2" s="1"/>
  <c r="F74" i="2"/>
  <c r="H74" i="2" s="1"/>
  <c r="F73" i="2"/>
  <c r="H73" i="2" s="1"/>
  <c r="F72" i="2"/>
  <c r="H72" i="2" s="1"/>
  <c r="F71" i="2"/>
  <c r="H71" i="2" s="1"/>
  <c r="F64" i="2"/>
  <c r="E64" i="2"/>
  <c r="D64" i="2"/>
  <c r="H64" i="2" s="1"/>
  <c r="C64" i="2"/>
  <c r="F61" i="2"/>
  <c r="H61" i="2" s="1"/>
  <c r="F60" i="2"/>
  <c r="H60" i="2" s="1"/>
  <c r="F59" i="2"/>
  <c r="H59" i="2" s="1"/>
  <c r="E57" i="2"/>
  <c r="G57" i="2" s="1"/>
  <c r="D57" i="2"/>
  <c r="H56" i="2"/>
  <c r="G56" i="2"/>
  <c r="H55" i="2"/>
  <c r="G55" i="2"/>
  <c r="G54" i="2"/>
  <c r="F54" i="2"/>
  <c r="D54" i="2"/>
  <c r="G53" i="2"/>
  <c r="F53" i="2"/>
  <c r="D53" i="2"/>
  <c r="F52" i="2"/>
  <c r="H52" i="2" s="1"/>
  <c r="E52" i="2"/>
  <c r="G52" i="2" s="1"/>
  <c r="H51" i="2"/>
  <c r="G51" i="2"/>
  <c r="H50" i="2"/>
  <c r="G50" i="2"/>
  <c r="G49" i="2"/>
  <c r="F49" i="2"/>
  <c r="D49" i="2"/>
  <c r="G48" i="2"/>
  <c r="F48" i="2"/>
  <c r="H48" i="2" s="1"/>
  <c r="E47" i="2"/>
  <c r="F47" i="2" s="1"/>
  <c r="D47" i="2"/>
  <c r="E46" i="2"/>
  <c r="G46" i="2" s="1"/>
  <c r="D46" i="2"/>
  <c r="G45" i="2"/>
  <c r="F45" i="2"/>
  <c r="D45" i="2"/>
  <c r="G44" i="2"/>
  <c r="F44" i="2"/>
  <c r="D44" i="2"/>
  <c r="G43" i="2"/>
  <c r="F43" i="2"/>
  <c r="H43" i="2" s="1"/>
  <c r="G42" i="2"/>
  <c r="F42" i="2"/>
  <c r="F39" i="2" s="1"/>
  <c r="D42" i="2"/>
  <c r="G41" i="2"/>
  <c r="F41" i="2"/>
  <c r="D41" i="2"/>
  <c r="D39" i="2" s="1"/>
  <c r="H40" i="2"/>
  <c r="G40" i="2"/>
  <c r="E39" i="2"/>
  <c r="C39" i="2"/>
  <c r="G38" i="2"/>
  <c r="F38" i="2"/>
  <c r="D38" i="2"/>
  <c r="H37" i="2"/>
  <c r="G37" i="2"/>
  <c r="G36" i="2"/>
  <c r="D36" i="2"/>
  <c r="D35" i="2" s="1"/>
  <c r="H35" i="2" s="1"/>
  <c r="C35" i="2"/>
  <c r="G35" i="2" s="1"/>
  <c r="G34" i="2"/>
  <c r="F34" i="2"/>
  <c r="D34" i="2"/>
  <c r="D33" i="2"/>
  <c r="D32" i="2"/>
  <c r="G31" i="2"/>
  <c r="F31" i="2"/>
  <c r="H31" i="2" s="1"/>
  <c r="D31" i="2"/>
  <c r="G30" i="2"/>
  <c r="F30" i="2"/>
  <c r="D30" i="2"/>
  <c r="G29" i="2"/>
  <c r="F29" i="2"/>
  <c r="D29" i="2"/>
  <c r="G28" i="2"/>
  <c r="F28" i="2"/>
  <c r="D28" i="2"/>
  <c r="E27" i="2"/>
  <c r="C27" i="2"/>
  <c r="G26" i="2"/>
  <c r="F26" i="2"/>
  <c r="D26" i="2"/>
  <c r="G25" i="2"/>
  <c r="F25" i="2"/>
  <c r="F24" i="2" s="1"/>
  <c r="D25" i="2"/>
  <c r="E24" i="2"/>
  <c r="C24" i="2"/>
  <c r="G23" i="2"/>
  <c r="D23" i="2"/>
  <c r="H23" i="2" s="1"/>
  <c r="G22" i="2"/>
  <c r="D22" i="2"/>
  <c r="H22" i="2" s="1"/>
  <c r="G21" i="2"/>
  <c r="F21" i="2"/>
  <c r="D21" i="2"/>
  <c r="G20" i="2"/>
  <c r="F20" i="2"/>
  <c r="D20" i="2"/>
  <c r="G19" i="2"/>
  <c r="F19" i="2"/>
  <c r="D19" i="2"/>
  <c r="E18" i="2"/>
  <c r="C18" i="2"/>
  <c r="G18" i="2" s="1"/>
  <c r="G17" i="2"/>
  <c r="D17" i="2"/>
  <c r="H17" i="2" s="1"/>
  <c r="G16" i="2"/>
  <c r="D16" i="2"/>
  <c r="H16" i="2" s="1"/>
  <c r="G15" i="2"/>
  <c r="F15" i="2"/>
  <c r="D15" i="2"/>
  <c r="G14" i="2"/>
  <c r="F14" i="2"/>
  <c r="H14" i="2" s="1"/>
  <c r="D14" i="2"/>
  <c r="G13" i="2"/>
  <c r="F13" i="2"/>
  <c r="D13" i="2"/>
  <c r="D12" i="2" s="1"/>
  <c r="E12" i="2"/>
  <c r="C12" i="2"/>
  <c r="E33" i="1"/>
  <c r="E34" i="1"/>
  <c r="E36" i="1"/>
  <c r="E37" i="1"/>
  <c r="E39" i="1"/>
  <c r="E40" i="1"/>
  <c r="E41" i="1"/>
  <c r="C38" i="1"/>
  <c r="E38" i="1" s="1"/>
  <c r="D35" i="1"/>
  <c r="C35" i="1"/>
  <c r="D22" i="1"/>
  <c r="H13" i="2" l="1"/>
  <c r="D24" i="2"/>
  <c r="G27" i="2"/>
  <c r="H49" i="2"/>
  <c r="H26" i="2"/>
  <c r="D27" i="2"/>
  <c r="G64" i="2"/>
  <c r="G39" i="2"/>
  <c r="H53" i="2"/>
  <c r="H20" i="2"/>
  <c r="H25" i="2"/>
  <c r="H38" i="2"/>
  <c r="H21" i="2"/>
  <c r="H29" i="2"/>
  <c r="H47" i="2"/>
  <c r="H54" i="2"/>
  <c r="H15" i="2"/>
  <c r="H41" i="2"/>
  <c r="H44" i="2"/>
  <c r="D18" i="2"/>
  <c r="D11" i="2" s="1"/>
  <c r="D10" i="2" s="1"/>
  <c r="D9" i="2" s="1"/>
  <c r="H19" i="2"/>
  <c r="H42" i="2"/>
  <c r="C10" i="4"/>
  <c r="C8" i="4" s="1"/>
  <c r="G24" i="2"/>
  <c r="H28" i="2"/>
  <c r="H45" i="2"/>
  <c r="F57" i="2"/>
  <c r="H57" i="2" s="1"/>
  <c r="F12" i="2"/>
  <c r="H12" i="2" s="1"/>
  <c r="E11" i="2"/>
  <c r="E10" i="2" s="1"/>
  <c r="H24" i="2"/>
  <c r="G12" i="2"/>
  <c r="F18" i="2"/>
  <c r="H18" i="2" s="1"/>
  <c r="F27" i="2"/>
  <c r="H27" i="2" s="1"/>
  <c r="H30" i="2"/>
  <c r="H34" i="2"/>
  <c r="G47" i="2"/>
  <c r="C11" i="2"/>
  <c r="C10" i="2" s="1"/>
  <c r="C9" i="2" s="1"/>
  <c r="H36" i="2"/>
  <c r="H39" i="2"/>
  <c r="F46" i="2"/>
  <c r="H46" i="2" s="1"/>
  <c r="E35" i="1"/>
  <c r="G11" i="2" l="1"/>
  <c r="G10" i="2"/>
  <c r="E9" i="2"/>
  <c r="G9" i="2" s="1"/>
  <c r="F11" i="2"/>
  <c r="H11" i="2" l="1"/>
  <c r="F10" i="2"/>
  <c r="H10" i="2" l="1"/>
  <c r="F9" i="2"/>
  <c r="H9" i="2" s="1"/>
  <c r="D12" i="1" l="1"/>
  <c r="C12" i="1"/>
  <c r="C9" i="1"/>
  <c r="D10" i="1"/>
  <c r="D9" i="1" s="1"/>
  <c r="K11" i="6" l="1"/>
  <c r="I11" i="6" s="1"/>
  <c r="T20" i="6"/>
  <c r="S20" i="6"/>
  <c r="R20" i="6"/>
  <c r="P20" i="6"/>
  <c r="K20" i="6"/>
  <c r="E20" i="6"/>
  <c r="C20" i="6" s="1"/>
  <c r="T19" i="6"/>
  <c r="S19" i="6"/>
  <c r="R19" i="6"/>
  <c r="P19" i="6"/>
  <c r="K19" i="6"/>
  <c r="E19" i="6"/>
  <c r="C19" i="6" s="1"/>
  <c r="T18" i="6"/>
  <c r="S18" i="6"/>
  <c r="R18" i="6"/>
  <c r="P18" i="6"/>
  <c r="K18" i="6"/>
  <c r="E18" i="6"/>
  <c r="C18" i="6"/>
  <c r="T17" i="6"/>
  <c r="S17" i="6"/>
  <c r="R17" i="6"/>
  <c r="P17" i="6"/>
  <c r="K17" i="6"/>
  <c r="I17" i="6" s="1"/>
  <c r="E17" i="6"/>
  <c r="C17" i="6" s="1"/>
  <c r="T16" i="6"/>
  <c r="S16" i="6"/>
  <c r="R16" i="6"/>
  <c r="P16" i="6"/>
  <c r="K16" i="6"/>
  <c r="E16" i="6"/>
  <c r="C16" i="6" s="1"/>
  <c r="T15" i="6"/>
  <c r="S15" i="6"/>
  <c r="R15" i="6"/>
  <c r="P15" i="6"/>
  <c r="K15" i="6"/>
  <c r="E15" i="6"/>
  <c r="C15" i="6" s="1"/>
  <c r="T14" i="6"/>
  <c r="S14" i="6"/>
  <c r="R14" i="6"/>
  <c r="P14" i="6"/>
  <c r="K14" i="6"/>
  <c r="E14" i="6"/>
  <c r="C14" i="6" s="1"/>
  <c r="T13" i="6"/>
  <c r="S13" i="6"/>
  <c r="R13" i="6"/>
  <c r="P13" i="6"/>
  <c r="K13" i="6"/>
  <c r="I13" i="6" s="1"/>
  <c r="E13" i="6"/>
  <c r="C13" i="6" s="1"/>
  <c r="T12" i="6"/>
  <c r="S12" i="6"/>
  <c r="R12" i="6"/>
  <c r="P12" i="6"/>
  <c r="K12" i="6"/>
  <c r="E12" i="6"/>
  <c r="C12" i="6" s="1"/>
  <c r="T11" i="6"/>
  <c r="S11" i="6"/>
  <c r="R11" i="6"/>
  <c r="P11" i="6"/>
  <c r="E11" i="6"/>
  <c r="C11" i="6" s="1"/>
  <c r="N10" i="6"/>
  <c r="M10" i="6"/>
  <c r="L10" i="6"/>
  <c r="J10" i="6"/>
  <c r="H10" i="6"/>
  <c r="G10" i="6"/>
  <c r="F10" i="6"/>
  <c r="D10" i="6"/>
  <c r="Q19" i="6" l="1"/>
  <c r="E10" i="6"/>
  <c r="Q15" i="6"/>
  <c r="O11" i="6"/>
  <c r="S10" i="6"/>
  <c r="T10" i="6"/>
  <c r="Q13" i="6"/>
  <c r="Q14" i="6"/>
  <c r="I15" i="6"/>
  <c r="O15" i="6" s="1"/>
  <c r="Q17" i="6"/>
  <c r="Q18" i="6"/>
  <c r="I19" i="6"/>
  <c r="O19" i="6" s="1"/>
  <c r="K10" i="6"/>
  <c r="P10" i="6"/>
  <c r="R10" i="6"/>
  <c r="Q11" i="6"/>
  <c r="Q12" i="6"/>
  <c r="Q16" i="6"/>
  <c r="Q20" i="6"/>
  <c r="C10" i="6"/>
  <c r="O13" i="6"/>
  <c r="O17" i="6"/>
  <c r="I12" i="6"/>
  <c r="O12" i="6" s="1"/>
  <c r="I14" i="6"/>
  <c r="O14" i="6" s="1"/>
  <c r="I16" i="6"/>
  <c r="O16" i="6" s="1"/>
  <c r="I18" i="6"/>
  <c r="O18" i="6" s="1"/>
  <c r="I20" i="6"/>
  <c r="O20" i="6" s="1"/>
  <c r="Q10" i="6" l="1"/>
  <c r="I10" i="6"/>
  <c r="O10" i="6" s="1"/>
  <c r="D11" i="4" l="1"/>
  <c r="D10" i="4" l="1"/>
  <c r="D8" i="4" s="1"/>
  <c r="E28" i="1"/>
  <c r="E24" i="1"/>
  <c r="E25" i="1"/>
  <c r="E26" i="1"/>
  <c r="E27" i="1"/>
  <c r="E10" i="4" l="1"/>
  <c r="C22" i="1"/>
  <c r="E35" i="4" l="1"/>
  <c r="E33" i="4"/>
  <c r="E31" i="4"/>
  <c r="E30" i="4"/>
  <c r="E22" i="4"/>
  <c r="E21" i="4"/>
  <c r="E17" i="4"/>
  <c r="E11" i="4"/>
  <c r="E24" i="4"/>
  <c r="E29" i="4"/>
  <c r="E34" i="4"/>
  <c r="E37" i="4"/>
  <c r="E9" i="4"/>
  <c r="E32" i="1"/>
  <c r="E32" i="4" l="1"/>
  <c r="E23" i="4"/>
  <c r="E14" i="4"/>
  <c r="E16" i="4"/>
  <c r="E18" i="4"/>
  <c r="E20" i="4"/>
  <c r="E26" i="4"/>
  <c r="E36" i="4"/>
  <c r="E28" i="4"/>
  <c r="E19" i="4"/>
  <c r="E12" i="4" l="1"/>
  <c r="E8" i="4"/>
  <c r="D29" i="1" l="1"/>
  <c r="D21" i="1" l="1"/>
  <c r="C29" i="1" l="1"/>
  <c r="C8" i="1"/>
  <c r="C21" i="1" l="1"/>
  <c r="D8" i="1" l="1"/>
  <c r="E10" i="1"/>
  <c r="E11" i="1"/>
  <c r="E12" i="1"/>
  <c r="E13" i="1"/>
  <c r="E14" i="1"/>
  <c r="E15" i="1"/>
  <c r="E16" i="1"/>
  <c r="E17" i="1"/>
  <c r="E21" i="1"/>
  <c r="E22" i="1"/>
  <c r="E23" i="1"/>
  <c r="E29" i="1"/>
  <c r="E30" i="1"/>
  <c r="E31" i="1"/>
  <c r="E9" i="1"/>
  <c r="E8" i="1" l="1"/>
  <c r="E15" i="4" l="1"/>
</calcChain>
</file>

<file path=xl/sharedStrings.xml><?xml version="1.0" encoding="utf-8"?>
<sst xmlns="http://schemas.openxmlformats.org/spreadsheetml/2006/main" count="885" uniqueCount="540">
  <si>
    <t>Biểu số 62/CK-NSNN</t>
  </si>
  <si>
    <t>Đơn vị: Triệu đồng</t>
  </si>
  <si>
    <t>STT</t>
  </si>
  <si>
    <t>NỘI DUNG</t>
  </si>
  <si>
    <t xml:space="preserve">DỰ TOÁN </t>
  </si>
  <si>
    <t>QUYẾT TOÁN</t>
  </si>
  <si>
    <t>SO SÁNH (%)</t>
  </si>
  <si>
    <t>A</t>
  </si>
  <si>
    <t>B</t>
  </si>
  <si>
    <t>3=2/1</t>
  </si>
  <si>
    <t>TỔNG NGUỒN THU NSĐP</t>
  </si>
  <si>
    <t>Thu ngân sách địa phương được hưởng theo phân cấp</t>
  </si>
  <si>
    <t>-</t>
  </si>
  <si>
    <t>Thu NSĐP được hưởng 100%</t>
  </si>
  <si>
    <t xml:space="preserve">Thu NSĐP hưởng từ các khoản thu phân chia </t>
  </si>
  <si>
    <t>Thu bổ sung từ NSTW</t>
  </si>
  <si>
    <t>Thu bổ sung cân đối</t>
  </si>
  <si>
    <t>Thu bổ sung có mục tiêu</t>
  </si>
  <si>
    <t>Thu từ quỹ dự trữ tài chính</t>
  </si>
  <si>
    <t>Thu chuyển nguồn từ năm trước chuyển sang</t>
  </si>
  <si>
    <t>TỔNG CHI NSĐP</t>
  </si>
  <si>
    <t> I</t>
  </si>
  <si>
    <t>Chi cân đối NSĐP</t>
  </si>
  <si>
    <t>Chi đầu tư phát triển</t>
  </si>
  <si>
    <t>Chi thường xuyên</t>
  </si>
  <si>
    <t>Chi bổ sung quỹ dự trữ tài chính</t>
  </si>
  <si>
    <t>Dự phòng ngân sách</t>
  </si>
  <si>
    <t>II</t>
  </si>
  <si>
    <t>Chi các chương trình mục tiêu</t>
  </si>
  <si>
    <t>Chi các chương trình mục tiêu quốc gia</t>
  </si>
  <si>
    <t>Chi các chương trình mục tiêu, nhiệm vụ</t>
  </si>
  <si>
    <t>III</t>
  </si>
  <si>
    <t>Chi chuyển nguồn sang năm sau</t>
  </si>
  <si>
    <t>C</t>
  </si>
  <si>
    <t>D</t>
  </si>
  <si>
    <t>E</t>
  </si>
  <si>
    <t>Biểu số 63/CK-NSNN</t>
  </si>
  <si>
    <t>DỰ TOÁN</t>
  </si>
  <si>
    <t>5=3/1</t>
  </si>
  <si>
    <t>6=4/2</t>
  </si>
  <si>
    <t>TỔNG THU CÂN ĐỐI NSNN</t>
  </si>
  <si>
    <t>I</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</si>
  <si>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</si>
  <si>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</si>
  <si>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</si>
  <si>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</si>
  <si>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</si>
  <si>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</si>
  <si>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</si>
  <si>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</si>
  <si>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</si>
  <si>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</si>
  <si>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</si>
  <si>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từ quỹ đất công ích, hoa lợi công sản khác</t>
  </si>
  <si>
    <t>Thu từ dầu thô</t>
  </si>
  <si>
    <t>Thuế xuất khẩu</t>
  </si>
  <si>
    <t>Thuế nhập khẩu</t>
  </si>
  <si>
    <t>Thu khác</t>
  </si>
  <si>
    <t>IV</t>
  </si>
  <si>
    <t>THU KẾT DƯ NĂM TRƯỚC</t>
  </si>
  <si>
    <t>THU CHUYỂN NGUỒN TỪ NĂM TRƯỚC CHUYỂN SANG</t>
  </si>
  <si>
    <t>Biểu số 64/CK-NSNN</t>
  </si>
  <si>
    <t>1=2+3</t>
  </si>
  <si>
    <t>4=5+6</t>
  </si>
  <si>
    <t>7=4/1</t>
  </si>
  <si>
    <t>8=5/2</t>
  </si>
  <si>
    <t>9=6/3</t>
  </si>
  <si>
    <t>CHI CÂN ĐỐI NSĐP</t>
  </si>
  <si>
    <t>Chi đầu tư cho các dự án</t>
  </si>
  <si>
    <t>Chi giáo dục - đào tạo và dạy nghề</t>
  </si>
  <si>
    <t>Chi khoa học và công nghệ</t>
  </si>
  <si>
    <t>Chi đầu tư từ nguồn thu tiền sử dụng đất</t>
  </si>
  <si>
    <t>Chi đầu tư từ nguồn thu xổ số kiến thiết</t>
  </si>
  <si>
    <t>Chi đầu tư phát triển khác</t>
  </si>
  <si>
    <t>Trong đó:</t>
  </si>
  <si>
    <t>V</t>
  </si>
  <si>
    <t>VI</t>
  </si>
  <si>
    <t>CHI CÁC CHƯƠNG TRÌNH MỤC TIÊU</t>
  </si>
  <si>
    <t>CHI CHUYỂN NGUỒN SANG NĂM SAU</t>
  </si>
  <si>
    <t>Biểu số 65/CK-NSNN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</si>
  <si>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</si>
  <si>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</si>
  <si>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</si>
  <si>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</si>
  <si>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</si>
  <si>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</si>
  <si>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</si>
  <si>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</si>
  <si>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</si>
  <si>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</si>
  <si>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</si>
  <si>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</si>
  <si>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</si>
  <si>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</si>
  <si>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</si>
  <si>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</si>
  <si>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</si>
  <si>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</si>
  <si>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</si>
  <si>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66/CK-NSNN</t>
  </si>
  <si>
    <t>TÊN ĐƠN VỊ</t>
  </si>
  <si>
    <t>TỔNG SỐ</t>
  </si>
  <si>
    <t>CHI ĐẦU TƯ PHÁT TRIỂN (KHÔNG KỂ CHƯƠNG TRÌNH MTQG)</t>
  </si>
  <si>
    <t>CHI THƯỜNG XUYÊN (KHÔNG KỂ CHƯƠNG TRÌNH MTQG)</t>
  </si>
  <si>
    <t>CHI CHƯƠNG TRÌNH MTQG</t>
  </si>
  <si>
    <t>CHI CHUYỂN NGUỒN SANG NGÂN SÁCH NĂM SAU</t>
  </si>
  <si>
    <t>CHI ĐẦU TƯ PHÁT TRIỂN</t>
  </si>
  <si>
    <t>CHI THƯỜNG XUYÊN</t>
  </si>
  <si>
    <t>Biểu số 67/CK-NSNN</t>
  </si>
  <si>
    <t>Tên đơn vị</t>
  </si>
  <si>
    <t>Dự toán</t>
  </si>
  <si>
    <t>Quyết toán</t>
  </si>
  <si>
    <t>So sánh (%)</t>
  </si>
  <si>
    <t>Tổng số</t>
  </si>
  <si>
    <t>Bổ sung cân đối</t>
  </si>
  <si>
    <t>Bổ sung có mục tiêu</t>
  </si>
  <si>
    <t>Vốn đầu tư để thực hiện các chương trình mục tiêu, nhiệm vụ</t>
  </si>
  <si>
    <t>Vốn sự nghiệp để thực hiện các chế độ, chính sách, nhiệm vụ</t>
  </si>
  <si>
    <t>Vốn thực hiện các chương trình mục tiêu quốc gia</t>
  </si>
  <si>
    <t>13=7/1</t>
  </si>
  <si>
    <t>14=8/2</t>
  </si>
  <si>
    <t>15=9/3</t>
  </si>
  <si>
    <t>16=10/4</t>
  </si>
  <si>
    <t>17=11/5</t>
  </si>
  <si>
    <t>18=12/6</t>
  </si>
  <si>
    <t>Biểu số 68/CK-NSNN</t>
  </si>
  <si>
    <t>Nội dung</t>
  </si>
  <si>
    <t>Trong đó</t>
  </si>
  <si>
    <t>Đầu tư phát triển</t>
  </si>
  <si>
    <t>Kinh phí sự nghiệp</t>
  </si>
  <si>
    <t>Vốn trong nước</t>
  </si>
  <si>
    <t>Vốn ngoài nước</t>
  </si>
  <si>
    <t>Chương trình mục tiêu quốc gia xây dựng nông thôn mới</t>
  </si>
  <si>
    <t>Chương trình mục tiêu quốc gia giảm nghèo bền vững</t>
  </si>
  <si>
    <t>21=4/1</t>
  </si>
  <si>
    <t>22=5/2</t>
  </si>
  <si>
    <t>Hội Nông dân tỉnh</t>
  </si>
  <si>
    <t>Ban Dân tộc</t>
  </si>
  <si>
    <t>Huyện Kon Rẫy</t>
  </si>
  <si>
    <t>Huyện Đăk Hà</t>
  </si>
  <si>
    <t>Thành phố Kon Tum</t>
  </si>
  <si>
    <t>Huyện Đăk Tô</t>
  </si>
  <si>
    <t xml:space="preserve">Huyện Ngọc Hồi </t>
  </si>
  <si>
    <t>Thu từ ngân sách cấp dưới nộp lên</t>
  </si>
  <si>
    <t>2.1</t>
  </si>
  <si>
    <t>2.2</t>
  </si>
  <si>
    <t>2.3</t>
  </si>
  <si>
    <t>6=7+8</t>
  </si>
  <si>
    <t>+</t>
  </si>
  <si>
    <t>3.1</t>
  </si>
  <si>
    <t>3.2</t>
  </si>
  <si>
    <t>Vốn nước ngoài</t>
  </si>
  <si>
    <t xml:space="preserve"> Chi nộp ngân sách cấp trên</t>
  </si>
  <si>
    <t>Huyện Đăk Glei</t>
  </si>
  <si>
    <t>Huyện Tu Mơ Rông</t>
  </si>
  <si>
    <t>Huyện Ia H'Drai</t>
  </si>
  <si>
    <t xml:space="preserve">Dự toán </t>
  </si>
  <si>
    <t xml:space="preserve">Quyết toán </t>
  </si>
  <si>
    <t>1=2+..+6</t>
  </si>
  <si>
    <t>14=15+16</t>
  </si>
  <si>
    <t xml:space="preserve">      Đơn vị: Triệu đồng</t>
  </si>
  <si>
    <t xml:space="preserve">Chi đầu tư phát triển </t>
  </si>
  <si>
    <t>Thu NSĐP</t>
  </si>
  <si>
    <t>Văn phòng Điều phối NTM tỉnh</t>
  </si>
  <si>
    <t>Hội Liên hiệp Phụ nữ tỉnh</t>
  </si>
  <si>
    <t>Chi thường xuyên cấp DT</t>
  </si>
  <si>
    <t>Chi thường xuyên cấp Lệnh chi</t>
  </si>
  <si>
    <t>Sự nghiệp</t>
  </si>
  <si>
    <t>Đâu tư</t>
  </si>
  <si>
    <t>Vay của ngân sách địa phương</t>
  </si>
  <si>
    <t>Liên minh HTX tỉnh</t>
  </si>
  <si>
    <t>Huyện Kon Plong</t>
  </si>
  <si>
    <t>Huyện Sa Thầy</t>
  </si>
  <si>
    <t>CHI TRẢ NỢ GỐC CỦA NSĐP</t>
  </si>
  <si>
    <t>Từ nguồn vay để trả nợ gốc</t>
  </si>
  <si>
    <t>Từ nguồn bội thu, tăng thu, tiết kiệm chi, kết dư ngân sách cấp tỉnh</t>
  </si>
  <si>
    <t>TỔNG MỨC VAY CỦA NSĐP</t>
  </si>
  <si>
    <t>Vay để bù đắp bội chi</t>
  </si>
  <si>
    <t>Vay để trả nợ gốc</t>
  </si>
  <si>
    <t>TỔNG MỨC DƯ NỢ VAY CUỐI NĂM CỦA NSĐP</t>
  </si>
  <si>
    <t>Đ</t>
  </si>
  <si>
    <t>Thuế tiêu thụ đặc biệt thu từ hàng hóa nhập khẩu</t>
  </si>
  <si>
    <t>Tổng thu NSNN</t>
  </si>
  <si>
    <t>TỔNG NGUỒN THU NSNN (A+B+C+D)</t>
  </si>
  <si>
    <t>Thuế giá trị gia tăng</t>
  </si>
  <si>
    <t>Thuế thu nhập doanh nghiệp</t>
  </si>
  <si>
    <t>Thuế tài nguyên</t>
  </si>
  <si>
    <t>Thuế tài nguyên nước</t>
  </si>
  <si>
    <t>Thuế tài nguyên khác</t>
  </si>
  <si>
    <t>Thuế tài nguyên rừng</t>
  </si>
  <si>
    <t>4.1</t>
  </si>
  <si>
    <t>4.2</t>
  </si>
  <si>
    <t>4.3</t>
  </si>
  <si>
    <t>Thuế TTĐB hàng nội địa</t>
  </si>
  <si>
    <t>4.4</t>
  </si>
  <si>
    <t xml:space="preserve">Thu phí, lệ phí </t>
  </si>
  <si>
    <t>Phí và lệ phí trung ương</t>
  </si>
  <si>
    <t>Phí và lệ phí tỉnh</t>
  </si>
  <si>
    <t>Phí và lệ phí huyện</t>
  </si>
  <si>
    <t>Phí và lệ phí xã, phường</t>
  </si>
  <si>
    <t>Thu từ hoạt động xổ số kiến thiết</t>
  </si>
  <si>
    <t xml:space="preserve">Thu từ hoạt động xuất nhập khẩu </t>
  </si>
  <si>
    <t>Thuế bảo vệ môi trường thu từ hàng hóa nhập khẩu</t>
  </si>
  <si>
    <t>Thuế giá trị gia tăng thu từ hàng hóa nhập khẩu</t>
  </si>
  <si>
    <t>Thu viện trợ, các khoản huy động, đóng góp</t>
  </si>
  <si>
    <t>Bao gồm</t>
  </si>
  <si>
    <t xml:space="preserve">Ngân sách cấp tỉnh </t>
  </si>
  <si>
    <t xml:space="preserve">Ngân sách huyện </t>
  </si>
  <si>
    <t>Ngân sách địa phương</t>
  </si>
  <si>
    <t>Trong đó: Chia theo nguồn vốn</t>
  </si>
  <si>
    <t>Chi đầu tư và hỗ trợ vốn cho các doanh nghiệp cung cấp sản phẩm, dịch vụ công ích do Nhà nước đặt hàng, các tổ chức kinh tế, các tổ chức tài chính của địa phương theo quy định của pháp luật</t>
  </si>
  <si>
    <t>Chương trình MTQG NTM</t>
  </si>
  <si>
    <t>Chương trình MTQG giảm nghèo bền vững</t>
  </si>
  <si>
    <t xml:space="preserve">Chi các chương trình mục tiêu, nhiệm vụ </t>
  </si>
  <si>
    <t>II.1</t>
  </si>
  <si>
    <t>Bổ sung vốn đầu tư</t>
  </si>
  <si>
    <t>II.2</t>
  </si>
  <si>
    <t xml:space="preserve">Bổ sung mục tiêu vốn sự nghiệp </t>
  </si>
  <si>
    <t>Hỗ trợ các Hội Văn học nghệ thuật và Hội Nhà báo địa phương</t>
  </si>
  <si>
    <t>Hỗ trợ chi phí học tập và miễn giảm học phí theo Nghị định 86</t>
  </si>
  <si>
    <t>Hỗ trợ học sinh và trường phổ thông ở xã, thôn đặc biệt khó khăn Nghị định 116/2016/NĐ-CP</t>
  </si>
  <si>
    <t xml:space="preserve">Học bổng học sinh dân tộc nội trú; học bổng và phương tiện học tập cho học sinh khuyết tật; hỗ trợ chi phí học tập cho sinh viên dân tộc thiểu số thuộc hộ nghèo, hộ cận nghèo; chính sách nội trú đối với học sinh, sinh viên học cao đẳng, trung cấp </t>
  </si>
  <si>
    <t>Học bổng học sinh dân tộc nội trú</t>
  </si>
  <si>
    <t>Học bổng và phương tiện học tập cho học sinh khuyết tật TTLT 42</t>
  </si>
  <si>
    <t xml:space="preserve">Chính sách nội trú đối với học sinh, sinh viên học cao đẳng, trung cấp </t>
  </si>
  <si>
    <t>Hỗ trợ kinh phí đào tạo cán bộ quân sự cấp xã</t>
  </si>
  <si>
    <t>Hỗ trợ đào tạo cán bộ cơ sở vùng Tây Nguyên theo Quyết định 124/QĐ-TTg</t>
  </si>
  <si>
    <t>Kinh phí thực hiện đề án giảm thiểu hôn nhân cận huyết thống</t>
  </si>
  <si>
    <t>Hỗ trợ kinh phí mua thẻ BHYT người nghèo, người sống ở vùng kinh tế xã hội ĐBKK, người dân tộc thiểu số sống ở vùng KT-XH khó khăn</t>
  </si>
  <si>
    <t>Hỗ trợ kinh phí mua thẻ BHYT cho trẻ em dưới 6 tuổi</t>
  </si>
  <si>
    <t>Hỗ trợ kinh phí mua thẻ BHYT cho các đối tượng cựu chiến binh, thanh niên xung phong</t>
  </si>
  <si>
    <t>Hỗ trợ kinh phí mua thẻ BHYT cho các đối tượng bảo trợ xã hội</t>
  </si>
  <si>
    <t>Hỗ trợ kinh phí mua thẻ BHYT cho các đối tượng học sinh, sinh viên (Cấp KP trực tiếp về BHXH tỉnh)</t>
  </si>
  <si>
    <t>Hỗ trợ thực hiện chính sách đối với đối tượng bảo trợ xã hội theo NĐ 136</t>
  </si>
  <si>
    <t xml:space="preserve"> Hỗ trợ tiền điện hộ nghèo, hộ chính sách xã hội</t>
  </si>
  <si>
    <t>Hỗ trợ chính sách đối với người có uy tín trong đồng bào dân tộc thiểu số</t>
  </si>
  <si>
    <t>Hỗ trợ tổ chức đơn vị sử dụng lao động là người dân tộc thiểu số</t>
  </si>
  <si>
    <t xml:space="preserve">Thu thủy lợi phí, giá dịch vụ thủy lợi </t>
  </si>
  <si>
    <t>Bổ sung kinh phí thực hiện nhiệm vụ đảm bảo trật tự an toán giao thông</t>
  </si>
  <si>
    <t>Kinh phí thực hiện Quyết định 2085/QĐ-TTg ngày 31/10/2016 của Thủ tướng Chính phủ</t>
  </si>
  <si>
    <t>Kinh phí thực hiện Quyết định 2086/QĐ-TTg ngày 31/10/2016 của Thủ tướng Chính phủ</t>
  </si>
  <si>
    <t>Bổ sung thực hiện một số Chương trình mục tiêu</t>
  </si>
  <si>
    <t>Chương trình mục tiêu Giáo dục nghề nghiệp, việc làm và an toàn lao động</t>
  </si>
  <si>
    <t>Phát triển hệ thống trợ giúp xã hội</t>
  </si>
  <si>
    <t>Chương trình mục tiêu ATGT, phòng cháy, tội phạm, ma túy</t>
  </si>
  <si>
    <t>Chương trình mục tiêu Phát triển lâm nghiệp bền vững</t>
  </si>
  <si>
    <t>Chương trình mục tiêu ứng phó với biến đổi khí hậu và tăng trưởng xanh</t>
  </si>
  <si>
    <t>CHI NỘP TRẢ NGÂN SÁCH CẤP TRÊN</t>
  </si>
  <si>
    <t>CHI BỔ SUNG CÂN ĐỐI CHO NGÂN SÁCH CẤP HUYỆN</t>
  </si>
  <si>
    <t>Chi thường xuyên (không kể chương trình MTQG va TƯ BSMT vốn sự nghiệp)</t>
  </si>
  <si>
    <t>TƯ BSMT vốn sự nghiệp</t>
  </si>
  <si>
    <t>QUYẾT TOÁN THU NGÂN SÁCH NHÀ NƯỚC NĂM 2020</t>
  </si>
  <si>
    <t>QUYẾT TOÁN CHI NGÂN SÁCH ĐỊA PHƯƠNG, CHI NGÂN SÁCH CẤP TỈNH  VÀ CHI NGÂN SÁCH HUYỆN THEO CƠ CẤU CHI NĂM 2020</t>
  </si>
  <si>
    <t>QUYẾT TOÁN CHI NGÂN SÁCH CẤP TỈNH THEO TỪNG LĨNH VỰC NĂM 2020</t>
  </si>
  <si>
    <t>QUYẾT TOÁN CHI NGÂN SÁCH CẤP TỈNH THEO CHO TỪNG CƠ QUAN, TỔ CHỨC NĂM 2020</t>
  </si>
  <si>
    <t>QUYẾT TOÁN CHI BỔ SUNG TỪ NGÂN SÁCH CẤP TỈNH CHO NGÂN SÁCH HUYỆN NĂM 2020</t>
  </si>
  <si>
    <t>QUYẾT TOÁN CHI CHƯƠNG TRÌNH MỤC TIÊU QUỐC GIA NĂM 2020</t>
  </si>
  <si>
    <t>Thu kết dư năm trước</t>
  </si>
  <si>
    <t>Thu huy động, đóng góp</t>
  </si>
  <si>
    <t>Chi trả nợ gốc, lãi các khoản do chính quyền địa phương vay</t>
  </si>
  <si>
    <t>Thu từ khu vực doanh nghiệp có vốn đầu tư nước ngoài (3)</t>
  </si>
  <si>
    <t>Trong đó: - Thuế BVMT thu từ hàng hóa sản xuất, kinh doanh trong nước</t>
  </si>
  <si>
    <t xml:space="preserve">                   - Thuế BVMT thu từ hàng hóa nhập khẩu</t>
  </si>
  <si>
    <t>(Chi tiết theo sắc thuế)</t>
  </si>
  <si>
    <t>Tăng thu từ các dự án khai thác quỹ đất so với dự toán Trung ương giao (phân bổ chi đầu tư các dự án, nhiệm vụ theo tiến độ nguồn thu thực tế)</t>
  </si>
  <si>
    <t>*</t>
  </si>
  <si>
    <t>Đất dự án khu trung tâm phường Ngô Mây, thành phố Kon Tum (1449)</t>
  </si>
  <si>
    <t>Tiền thuê đất trả tiền một lần thuộc Trung đoàn 66, Sư đoàn 10 (3605)</t>
  </si>
  <si>
    <t>Tiền sử dụng đất thuộc Trung đoàn 66, Sư đoàn 10 (1449)</t>
  </si>
  <si>
    <t>Tiền bán tài sản liền với đất thuộc Trung đoàn 66, Sư đoàn 10 (3365)</t>
  </si>
  <si>
    <t>VAY CỦA NGÂN SÁCH ĐỊA PHƯƠNG</t>
  </si>
  <si>
    <t>Địa phương vay từ nguồn cho vay lại của Chính phủ</t>
  </si>
  <si>
    <t>TỔNG CHI NGÂN SÁCH ĐỊA PHƯƠNG (BAO GỒM BỘI CHI NSĐP)</t>
  </si>
  <si>
    <t>A.1</t>
  </si>
  <si>
    <t>Chi nguồn giao tăng thu so dự toán TƯ giao (Chi từ nguồn tăng thu các dự án khai thác quỹ đất)</t>
  </si>
  <si>
    <t>A.2</t>
  </si>
  <si>
    <t>Chi từ nguồn bội chi NSĐP</t>
  </si>
  <si>
    <t xml:space="preserve"> -</t>
  </si>
  <si>
    <t>Dự án giáo dục và đào tạo nhân lực y tế phục vụ cải cách hệ thống y tế, thực hiện ghi thu ghi chi theo tiến độ giải ngân và trong phạm vi dự toán được giao.</t>
  </si>
  <si>
    <t>Dự án  an ninh y tế khu vực tiểu vùng Mê Kông mở rộng, thực hiện ghi thu ghi chi theo tiến độ giải ngân và trong phạm vi dự toán được giao.</t>
  </si>
  <si>
    <t>Dự án chăm sóc sức khỏe nhân dân các tỉnh Tây Nguyên giai đoạn 2, thực hiện ghi thu ghi chi theo tiến độ giải ngân và trong phạm vi dự toán được giao.</t>
  </si>
  <si>
    <t>Chương trình mở rộng quy mô vệ sinh nước sạch nông thôn theo phương thức dựa trên kết quả, thực hiện ghi thu ghi chi theo tiến độ giải ngân và trong phạm vi dự toán được giao.</t>
  </si>
  <si>
    <t>Dự án hỗ trợ quản trị nhà nước tại địa phương trách nhiệm giải trình, đáp ứng được tại tỉnh Kon Tum,  thực hiện ghi thu ghi chi theo tiến độ giải ngân.</t>
  </si>
  <si>
    <t xml:space="preserve">Nguồn còn lại chưa phân bổ </t>
  </si>
  <si>
    <t xml:space="preserve">Hỗ trợ chi phí ăn trưa đối với trẻ em mẫu giáo và chính sách đối với giáo viên mầm non; Chính sách ưu tiên đối với học sinh mẫu giáo học sinh dân tộc rất ít người </t>
  </si>
  <si>
    <t>Hỗ trợ chi phí ăn trưa đối với trẻ em mẫu giáo và chính sách đối với giáo viên mầm non</t>
  </si>
  <si>
    <t xml:space="preserve">Chính sách ưu tiên đối với học sinh mẫu giáo học sinh dân tộc rất ít người </t>
  </si>
  <si>
    <t>Hỗ trợ kinh phí đào tạo cán bộ quân sự cấp xã; kinh phí đào tạo cán bộ cơ sở vùng Tây nguyên; kinh phí thực hiện đề án giảm thiểu hôn nhân cận huyết</t>
  </si>
  <si>
    <t>Hỗ trợ kinh phí mua thẻ BHYT cho các đối tượng (cựu chiến binh, thanh niên xung phong, bảo trợ xã hội, học sinh, sinh viên, hộ cận nghèo, hộ nông lâm ngư nghiệp có mức sống trung bình, người hiến bộ phận cơ thể người)</t>
  </si>
  <si>
    <t>Kinh phí mua thẻ BHYT hộ cận nghèo, hộ nông lâm ngư nghiệp có mức sống trung bình, người hiến bộ phận cơ thể (Cấp KP trực tiếp về BHXH tỉnh)</t>
  </si>
  <si>
    <t>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</si>
  <si>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Hỗ trợ kinh phí thực hiện đề án tăng cường công tác quản lý khai thác gỗ rừng tự nhiên giai đoạn 2014-2020</t>
  </si>
  <si>
    <t>Dự án hoàn thiện, hiện đại hóa hồ sơ, bản đồ địa giới hành chính</t>
  </si>
  <si>
    <t>Kinh phí quản lý, bảo trì đường bộ</t>
  </si>
  <si>
    <t>Đề án phát triển KTXH vùng dân tộc rất ít người; Kinh phí thực hiện Quyết định 2085,2086 của Thủ tướng Chính phủ</t>
  </si>
  <si>
    <t>Chương trình mục tiêu Y tế dân số</t>
  </si>
  <si>
    <t xml:space="preserve">Chương trình mục tiêu Phát triển văn hóa </t>
  </si>
  <si>
    <t>Chương trình mục tiêu Giáo dục vùng núi, vùng dân tộc thiểu số, vùng khó khăn (Tăng cường CSVC, sửa chửa nâng cấp các trường dân tộc bán trú….)</t>
  </si>
  <si>
    <t>Chương trình mục tiêu tái cơ cấu kinh tế nông nghiệp và phòng chống giảm nhẹ thiên tai, ổn định đời sống dân cư</t>
  </si>
  <si>
    <t>Hỗ trợ Liên hiệp Phụ nữ</t>
  </si>
  <si>
    <t>Chính sách trợ giúp pháp lý</t>
  </si>
  <si>
    <t>Kinh phí hỗ trợ an ninh, quốc phòng</t>
  </si>
  <si>
    <t>CHI NỘP NGÂN SÁCH CẤP TRÊN</t>
  </si>
  <si>
    <t>Chi từ nguồn tăng thu; kể cả 50% thực hiện CCTL theo quy định các dự án khai thác quỹ đất so với DT TƯ giao</t>
  </si>
  <si>
    <t>Chi ngân sách cấp tỉnh</t>
  </si>
  <si>
    <t>Sở Nông nghiệp và PTNT</t>
  </si>
  <si>
    <t>Sở Lao động TB &amp;XH</t>
  </si>
  <si>
    <t>Ủy ban mặt trận Tổ quốc Việt Nam tỉnh</t>
  </si>
  <si>
    <t>Tỉnh Đoàn</t>
  </si>
  <si>
    <t>Sở Thông tin và Truyền thông</t>
  </si>
  <si>
    <t>Các CĐT khác</t>
  </si>
  <si>
    <t>Chi ngân sách huyện</t>
  </si>
  <si>
    <t>ĐVT: Triệu đồng</t>
  </si>
  <si>
    <t xml:space="preserve">TỔNG SỐ </t>
  </si>
  <si>
    <t xml:space="preserve">CHI TRẢ NỢ LÃI, GỐC VAY </t>
  </si>
  <si>
    <t>CHI BỔ SUNG QUỸ DỰ TRỮ TÀI CHÍNH, CHI DỰ PHÒNG, CHI BSMT CHO NGÂN SÁCH HUYỆN</t>
  </si>
  <si>
    <t>CHI BỔ SUNG QUỸ DỰ TRỮ TÀI CHÍNH, CHI BỔ SUNG CHO NGÂN SÁCH HUYỆN</t>
  </si>
  <si>
    <t xml:space="preserve">CHI NỘP TRẢ NGÂN SÁCH CẤP TRÊN </t>
  </si>
  <si>
    <t>CÁC CƠ QUAN, TỔ CHỨC</t>
  </si>
  <si>
    <t>I.1</t>
  </si>
  <si>
    <t>CÁC CƠ QUAN, TỔ CHỨC KHỐI TỈNH</t>
  </si>
  <si>
    <t>1</t>
  </si>
  <si>
    <t>Sở NN và PT nông thôn và các đơn vị trực thuộc</t>
  </si>
  <si>
    <t>2</t>
  </si>
  <si>
    <t>Sở GTVT và các đơn vị trực thuộc</t>
  </si>
  <si>
    <t>3</t>
  </si>
  <si>
    <t>Sở Xây dựng và các đơn vị trực thuộc</t>
  </si>
  <si>
    <t>4</t>
  </si>
  <si>
    <t>Sở Tài  nguyên MT và các ĐV trực thuộc</t>
  </si>
  <si>
    <t>5</t>
  </si>
  <si>
    <t>Sở Công Thương và các ĐV trực thuộc</t>
  </si>
  <si>
    <t>6</t>
  </si>
  <si>
    <t>Ngành giáo dục - Đào tạo ngành Giáo dục</t>
  </si>
  <si>
    <t>7</t>
  </si>
  <si>
    <t>Ngành Y tế</t>
  </si>
  <si>
    <t>8</t>
  </si>
  <si>
    <t xml:space="preserve"> Văn hoá Thể thao và Du lịch</t>
  </si>
  <si>
    <t>9</t>
  </si>
  <si>
    <t>Sở LĐ TB-XH và các đơn vị trực thuộc</t>
  </si>
  <si>
    <t>10</t>
  </si>
  <si>
    <t>Sở Tư pháp và các đơn vị trực thuộc</t>
  </si>
  <si>
    <t>11</t>
  </si>
  <si>
    <t>VP Tỉnh Uỷ và các đơn vị trực thuộc Tỉnh Uỷ</t>
  </si>
  <si>
    <t>12</t>
  </si>
  <si>
    <t>Sở Kh. học và CN và các ĐV trực thuộc</t>
  </si>
  <si>
    <t>13</t>
  </si>
  <si>
    <t>Tỉnh đoàn và các đơn vị trực thuộc</t>
  </si>
  <si>
    <t>14</t>
  </si>
  <si>
    <t>Sở Thông tin và truyền thông</t>
  </si>
  <si>
    <t>15</t>
  </si>
  <si>
    <t xml:space="preserve">Ban QL Khu Kinh tế  </t>
  </si>
  <si>
    <t>16</t>
  </si>
  <si>
    <t>Sở Nội vụ</t>
  </si>
  <si>
    <t>17</t>
  </si>
  <si>
    <t>Đài phát thanh - Truyền hình</t>
  </si>
  <si>
    <t>18</t>
  </si>
  <si>
    <t>19</t>
  </si>
  <si>
    <t>Sở Ngọai vụ</t>
  </si>
  <si>
    <t>20</t>
  </si>
  <si>
    <t>Thanh tra nhà nước</t>
  </si>
  <si>
    <t>21</t>
  </si>
  <si>
    <t>VP Đoàn ĐBQH và  HĐND tỉnh</t>
  </si>
  <si>
    <t>22</t>
  </si>
  <si>
    <t>Hỗ trợ hoạt động Đoàn đại biểu quốc hội</t>
  </si>
  <si>
    <t>23</t>
  </si>
  <si>
    <t>Sở Kế hoạch  và Đầu tư</t>
  </si>
  <si>
    <t>24</t>
  </si>
  <si>
    <t>Sở Tài chính</t>
  </si>
  <si>
    <t>25</t>
  </si>
  <si>
    <t>VP Uỷ ban nhân dân tỉnh</t>
  </si>
  <si>
    <t>26</t>
  </si>
  <si>
    <t>Hội Cựu chiến binh</t>
  </si>
  <si>
    <t>27</t>
  </si>
  <si>
    <t>Hội Nông dân</t>
  </si>
  <si>
    <t>28</t>
  </si>
  <si>
    <t>Uỷ ban mặt trận tổ quốc</t>
  </si>
  <si>
    <t>29</t>
  </si>
  <si>
    <t>Hội liên hiệp phụ nữ tỉnh</t>
  </si>
  <si>
    <t>30</t>
  </si>
  <si>
    <t>31</t>
  </si>
  <si>
    <t>Hỗ trợ kinh phí người cao tuổi</t>
  </si>
  <si>
    <t>32</t>
  </si>
  <si>
    <t>Hội nạn nhân ảnh hưởng chất độc da cam dioxin</t>
  </si>
  <si>
    <t>33</t>
  </si>
  <si>
    <t>Hội người tàn tật và trẻ em mồ côi</t>
  </si>
  <si>
    <t>34</t>
  </si>
  <si>
    <t>Hội khuyến học</t>
  </si>
  <si>
    <t>35</t>
  </si>
  <si>
    <t>Ban liên lạc tù chính trị</t>
  </si>
  <si>
    <t>36</t>
  </si>
  <si>
    <t>Hội nhà báo</t>
  </si>
  <si>
    <t>37</t>
  </si>
  <si>
    <t>Hội liên hiệp KH và kỹ thuật và các Hội thành viên</t>
  </si>
  <si>
    <t>38</t>
  </si>
  <si>
    <t>Hội Cựu Thanh niên xung phong</t>
  </si>
  <si>
    <t>39</t>
  </si>
  <si>
    <t>Hội Văn học Nghệ thuật</t>
  </si>
  <si>
    <t>40</t>
  </si>
  <si>
    <t>Hội HN Việt Nam - lào, VN - Campuchia</t>
  </si>
  <si>
    <t>41</t>
  </si>
  <si>
    <t>Hội liên lạc người Việt Nam ở nước ngoài</t>
  </si>
  <si>
    <t>42</t>
  </si>
  <si>
    <t>Hội Luật gia</t>
  </si>
  <si>
    <t>43</t>
  </si>
  <si>
    <t xml:space="preserve">Hội chữ thập đỏ </t>
  </si>
  <si>
    <t>Liên minh các Hợp tác xã</t>
  </si>
  <si>
    <t>Hỗ trợ ĐV TƯ kết nghĩa xã NQ 04</t>
  </si>
  <si>
    <t>Kinh phí trực phục vụ Tết nguyên đán</t>
  </si>
  <si>
    <t>Công đoàn viên chức tỉnh</t>
  </si>
  <si>
    <t>Hội cựu giáo chức</t>
  </si>
  <si>
    <t>Đoàn Luật sư tỉnh</t>
  </si>
  <si>
    <t>Ban quản lý dự án chuyển đổi NN bền vững</t>
  </si>
  <si>
    <t>Ban quản lý khai thác các công trình thủy lợi</t>
  </si>
  <si>
    <t>Ban quản lý các dự án 98</t>
  </si>
  <si>
    <t>Bệnh viện đa khoa tỉnh</t>
  </si>
  <si>
    <t>QBL DAGN khu vực Tây nguyên</t>
  </si>
  <si>
    <t>Ban quản lý dự án bảo vệ và Quản lý tổng hợp các hệ sinh thái rừng</t>
  </si>
  <si>
    <t xml:space="preserve">Ban quản lý Vườn quốc gia Chư Mom Ray </t>
  </si>
  <si>
    <t>Trung tâm kiểm soát bệnh tật tỉnh Kon Tum</t>
  </si>
  <si>
    <t>Trường Chính trị tỉnh Kon Tum</t>
  </si>
  <si>
    <t>Quỹ phát triển đất</t>
  </si>
  <si>
    <t>Chi cục Chăn nuôi và thú y tỉnh</t>
  </si>
  <si>
    <t>Bệnh viện Y dược Cổ truyền - Phục hồi chức năng tỉnh Kon Tum</t>
  </si>
  <si>
    <t>Trung tâm nước sinh hoạt và VS MT nông thôn</t>
  </si>
  <si>
    <t>Ban quản lý dự án đầu tư xây dựng các CT nông nghiệp và PTNT</t>
  </si>
  <si>
    <t>Trung tâm Phát triển Quỹ đất</t>
  </si>
  <si>
    <t xml:space="preserve">Chi cục Kiểm lâm tỉnh </t>
  </si>
  <si>
    <t>Các đơn vị có vốn nhà nước nắm giữ 100% vốn điều lệ, các đơn vị sử dụng lao động là người DTTS, thực hiện đề án tăng cường công tác quản lý khai thác gỗ rừng tự nhiên giai đoạn 2014-2020</t>
  </si>
  <si>
    <t xml:space="preserve">Ngân hàng chính sách xã hội tỉnh </t>
  </si>
  <si>
    <t>Quỹ bảo trì đường bộ</t>
  </si>
  <si>
    <t>Văn phòng Bảo hiểm xã hội tỉnh</t>
  </si>
  <si>
    <t>Báo Kon Tum</t>
  </si>
  <si>
    <t>Công ty TNHH MTV Cao su Chưmomray</t>
  </si>
  <si>
    <t>Công ty TNHH MTV Cao su Kon Tum</t>
  </si>
  <si>
    <t>Công ty Cổ phần Cao su Sa Thầy</t>
  </si>
  <si>
    <t>Ban ATGT tỉnh</t>
  </si>
  <si>
    <t>Các nguồn tập trung ngân sách tỉnh chưa phân bổ đầu năm (phân bổ khi có nhiệm vụ phát sinh)</t>
  </si>
  <si>
    <t>Chi thường xuyên theo hình thức Ghi thu Ghi chi vốn viện trợ và khác</t>
  </si>
  <si>
    <t>I.2</t>
  </si>
  <si>
    <t>CÁC HUYỆN, THÀNH PHỐ (Quyết toán tại ngân sách tỉnh, không bao gồm vốn đầu tư phân cấp NSH)</t>
  </si>
  <si>
    <t>UBND huyện Đăk Hà</t>
  </si>
  <si>
    <t>UBND huyện Đăk Tô</t>
  </si>
  <si>
    <t>UBND huyện Tu Mơ Rông</t>
  </si>
  <si>
    <t>UBND huyện Sa Thầy</t>
  </si>
  <si>
    <t xml:space="preserve">UBND huyện Ngọc Hồi </t>
  </si>
  <si>
    <t>UBND huyện Đăk Glei</t>
  </si>
  <si>
    <t>UBND huyện Ia H'Drai</t>
  </si>
  <si>
    <t>UBND huyện Kon Rẫy</t>
  </si>
  <si>
    <t xml:space="preserve">UBND huyện Kon PLông </t>
  </si>
  <si>
    <t>UBND thành phố Kon Tum</t>
  </si>
  <si>
    <t>Các Chủ đầu tư khác</t>
  </si>
  <si>
    <t>CHI KHÁC NGÂN SÁCH TỈNH</t>
  </si>
  <si>
    <t>Nguồn mua sắm sữa chữa tập trung</t>
  </si>
  <si>
    <t>KP sắp xếp bộ máy theo NQ 18, 19/CP và KP dự phòng cho số HĐLĐ 68</t>
  </si>
  <si>
    <t>Cấp vốn ủy thác, bù lãi suất theo NQ HĐND</t>
  </si>
  <si>
    <t>Lập các Quy hoạch chuyển tiếp</t>
  </si>
  <si>
    <t>Đại hội Đảng các cấp ở ĐP</t>
  </si>
  <si>
    <t>Chi khác ngân sách</t>
  </si>
  <si>
    <t>Nguồn thực hiện CCTL</t>
  </si>
  <si>
    <t>CHI TRẢ NỢ GỐC, LÃI CÁC KHOẢN DO CHÍNH QUYỀN ĐỊA PHƯƠNG VAY</t>
  </si>
  <si>
    <t>CHI BỔ SUNG QUỸ DỰ TRỮ TÀI CHÍNH</t>
  </si>
  <si>
    <t>CHI DỰ PHÒNG NGÂN SÁCH</t>
  </si>
  <si>
    <t xml:space="preserve">CHI BỔ SUNG MỤC TIÊU CHO NGÂN SÁCH HUYỆN </t>
  </si>
  <si>
    <t>VII</t>
  </si>
  <si>
    <t>VIII</t>
  </si>
  <si>
    <t>38=21/4</t>
  </si>
  <si>
    <t>39=22/5</t>
  </si>
  <si>
    <t>40=23/6</t>
  </si>
  <si>
    <t>41=24/7</t>
  </si>
  <si>
    <t>45=25/8</t>
  </si>
  <si>
    <t>46=26/9</t>
  </si>
  <si>
    <t>47=27/10</t>
  </si>
  <si>
    <t>48=28/11</t>
  </si>
  <si>
    <t>49=29/12</t>
  </si>
  <si>
    <t>50=30/13</t>
  </si>
  <si>
    <t>51=31/14</t>
  </si>
  <si>
    <t>52=32/15</t>
  </si>
  <si>
    <t>53=33/16</t>
  </si>
  <si>
    <t>54=34/17</t>
  </si>
  <si>
    <t>CÂN ĐỐI NGÂN SÁCH ĐỊA PHƯƠNG NĂM 2020</t>
  </si>
  <si>
    <t>5=8+15</t>
  </si>
  <si>
    <t>6=11+18</t>
  </si>
  <si>
    <t>7=8+11</t>
  </si>
  <si>
    <t>14=15+18</t>
  </si>
  <si>
    <t>Nội dung (1)</t>
  </si>
  <si>
    <t>Ngân sách cấp tỉnh</t>
  </si>
  <si>
    <t>Ngân sách huyện</t>
  </si>
  <si>
    <t>Trong đó: Chia theo lĩnh vực:</t>
  </si>
  <si>
    <t xml:space="preserve">Dự toán năm 2020 </t>
  </si>
  <si>
    <t>Chi nguồn giao tăng thu so dự toán Trung ương giao (Chi từ nguồn tăng thu các dự án khai thác quỹ đất)</t>
  </si>
  <si>
    <t>CHI TỪ NGUỒN BỘI CHI NSĐP</t>
  </si>
  <si>
    <t>23=6/3</t>
  </si>
  <si>
    <t>9=10+..+14</t>
  </si>
  <si>
    <t>19=9/1</t>
  </si>
  <si>
    <t>20=10/2</t>
  </si>
  <si>
    <t>21=11/3</t>
  </si>
  <si>
    <t>22=14/6</t>
  </si>
  <si>
    <t xml:space="preserve">Chi bổ sung quỹ dự trữ tài chính </t>
  </si>
  <si>
    <t xml:space="preserve">Thu hồi vốn, thu cổ tức </t>
  </si>
  <si>
    <t>Thu từ khu vực DNNN do trung ương quản lý</t>
  </si>
  <si>
    <t xml:space="preserve">Thu từ khu vực DNNN do địa phương quản lý </t>
  </si>
  <si>
    <t xml:space="preserve">Thu từ khu vực kinh tế ngoài quốc doanh </t>
  </si>
  <si>
    <t xml:space="preserve">Lợi nhuận được chia của Nhà nước và lợi nhuận sau thuế còn lại sau khi trích lập các quỹ của doanh nghiệp nhà nước </t>
  </si>
  <si>
    <t xml:space="preserve">Chênh lệch thu chi Ngân hàng Nhà nước </t>
  </si>
  <si>
    <t xml:space="preserve">Các đơn vị khác   </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</si>
  <si>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</si>
  <si>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</si>
  <si>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</si>
  <si>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</si>
  <si>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</si>
  <si>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</si>
  <si>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</si>
  <si>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</si>
  <si>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</si>
  <si>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</si>
  <si>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</si>
  <si>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</si>
  <si>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</si>
  <si>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</si>
  <si>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</si>
  <si>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</si>
  <si>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</si>
  <si>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</si>
  <si>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</si>
  <si>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</si>
  <si>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</si>
  <si>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</si>
  <si>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</si>
  <si>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</si>
  <si>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</si>
  <si>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</si>
  <si>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</si>
  <si>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</si>
  <si>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</si>
  <si>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</si>
  <si>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</si>
  <si>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</si>
  <si>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</si>
  <si>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(Kèm theo Quyết định số 1265 /QĐ-UBND ngày 30/12/2021 của Uỷ ban nhân dân tỉnh Kon Tum)</t>
  </si>
  <si>
    <t>(Kèm theo Quyết định số 1265  /QĐ-UBND ngày 30/12/2021 của Uỷ ban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</si>
</sst>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_(* #,##0.00_);_(* \(#,##0.00\);_(* &quot;-&quot;??_);_(@_)"/>
    <numFmt numFmtId="165" formatCode="_(* #,##0.0_);_(* \(#,##0.0\);_(* &quot;-&quot;??_);_(@_)"/>
    <numFmt numFmtId="166" formatCode="_(* #,##0_);_(* \(#,##0\);_(* &quot;-&quot;??_);_(@_)"/>
    <numFmt numFmtId="167" formatCode="_(* #,##0.00_);_(* \(#,##0.00\);_(* \-??_);_(@_)"/>
    <numFmt numFmtId="168" formatCode="0.0%"/>
    <numFmt numFmtId="169" formatCode="_-* #,##0\ _₫_-;\-* #,##0\ _₫_-;_-* &quot;-&quot;??\ _₫_-;_-@_-"/>
    <numFmt numFmtId="170" formatCode="_-* #,##0_-;\-* #,##0_-;_-* &quot;-&quot;??_-;_-@_-"/>
  </numFmts>
  <fonts count="42"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sz val="12"/>
      <color theme="1"/>
      <name val="Times New Roman"/>
      <family val="2"/>
    </font>
    <font>
      <sz val="11"/>
      <color theme="1"/>
      <name val="Calibri"/>
      <family val="2"/>
      <scheme val="minor"/>
    </font>
    <font>
      <sz val="10"/>
      <name val="Arial"/>
      <family val="2"/>
    </font>
    <font>
      <b/>
      <sz val="12"/>
      <color rgb="FF000000"/>
      <name val="Times New Roman"/>
      <family val="1"/>
    </font>
    <font>
      <i/>
      <sz val="12"/>
      <color rgb="FF000000"/>
      <name val="Times New Roman"/>
      <family val="1"/>
    </font>
    <font>
      <sz val="12"/>
      <color rgb="FF000000"/>
      <name val="Times New Roman"/>
      <family val="1"/>
    </font>
    <font>
      <b/>
      <sz val="12"/>
      <color rgb="FFFF0000"/>
      <name val="Times New Roman"/>
      <family val="1"/>
    </font>
    <font>
      <sz val="10"/>
      <color rgb="FF000000"/>
      <name val="Times New Roman"/>
      <family val="1"/>
    </font>
    <font>
      <sz val="11"/>
      <name val="Times New Roman"/>
      <family val="1"/>
    </font>
    <font>
      <b/>
      <sz val="11"/>
      <name val="Times New Roman"/>
      <family val="1"/>
    </font>
    <font>
      <b/>
      <sz val="12"/>
      <name val="Times New Roman"/>
      <family val="1"/>
    </font>
    <font>
      <i/>
      <sz val="11"/>
      <name val="Times New Roman"/>
      <family val="1"/>
    </font>
    <font>
      <sz val="12"/>
      <name val="Times New Roman"/>
      <family val="1"/>
    </font>
    <font>
      <sz val="10"/>
      <name val="Times New Roman"/>
      <family val="1"/>
    </font>
    <font>
      <b/>
      <sz val="13"/>
      <name val="Times New Roman"/>
      <family val="1"/>
    </font>
    <font>
      <i/>
      <sz val="12"/>
      <name val="Times New Roman"/>
      <family val="1"/>
    </font>
    <font>
      <b/>
      <sz val="13"/>
      <color rgb="FF000000"/>
      <name val="Times New Roman"/>
      <family val="1"/>
    </font>
    <font>
      <sz val="11"/>
      <color indexed="8"/>
      <name val="Calibri"/>
      <family val="2"/>
    </font>
    <font>
      <b/>
      <sz val="10"/>
      <name val="Times New Roman"/>
      <family val="1"/>
    </font>
    <font>
      <sz val="12"/>
      <color theme="1"/>
      <name val="Times New Roman"/>
      <family val="1"/>
    </font>
    <font>
      <b/>
      <sz val="12"/>
      <color theme="1"/>
      <name val="Times New Roman"/>
      <family val="1"/>
    </font>
    <font>
      <sz val="11"/>
      <color theme="1"/>
      <name val="Times New Roman"/>
      <family val="1"/>
    </font>
    <font>
      <sz val="10"/>
      <color theme="1"/>
      <name val="Times New Roman"/>
      <family val="1"/>
    </font>
    <font>
      <b/>
      <sz val="11"/>
      <color theme="1"/>
      <name val="Times New Roman"/>
      <family val="1"/>
    </font>
    <font>
      <sz val="9"/>
      <name val="Times New Roman"/>
      <family val="1"/>
    </font>
    <font>
      <b/>
      <sz val="9"/>
      <name val="Times New Roman"/>
      <family val="1"/>
    </font>
    <font>
      <sz val="8"/>
      <name val="Times New Roman"/>
      <family val="1"/>
    </font>
    <font>
      <b/>
      <sz val="10"/>
      <color rgb="FF000000"/>
      <name val="Times New Roman"/>
      <family val="1"/>
    </font>
    <font>
      <i/>
      <sz val="10"/>
      <color rgb="FF000000"/>
      <name val="Times New Roman"/>
      <family val="1"/>
    </font>
    <font>
      <b/>
      <sz val="10"/>
      <color theme="1"/>
      <name val="Times New Roman"/>
      <family val="1"/>
    </font>
    <font>
      <i/>
      <sz val="12"/>
      <color theme="1"/>
      <name val="Times New Roman"/>
      <family val="1"/>
    </font>
    <font>
      <sz val="12"/>
      <color rgb="FFFF0000"/>
      <name val="Times New Roman"/>
      <family val="1"/>
    </font>
    <font>
      <b/>
      <sz val="11"/>
      <color rgb="FFFF0000"/>
      <name val="Times New Roman"/>
      <family val="1"/>
    </font>
    <font>
      <i/>
      <sz val="13"/>
      <name val="Times New Roman"/>
      <family val="1"/>
    </font>
    <font>
      <b/>
      <sz val="10"/>
      <name val="Times New Roman"/>
      <family val="1"/>
      <charset val="163"/>
    </font>
    <font>
      <i/>
      <sz val="10"/>
      <name val="Times New Roman"/>
      <family val="1"/>
    </font>
    <font>
      <b/>
      <i/>
      <sz val="12"/>
      <name val="Times New Roman"/>
      <family val="1"/>
    </font>
    <font>
      <sz val="11"/>
      <name val="Calibri"/>
      <family val="2"/>
      <scheme val="minor"/>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rgb="FF000000"/>
      </left>
      <right style="thin">
        <color rgb="FF000000"/>
      </right>
      <top/>
      <bottom style="hair">
        <color rgb="FF000000"/>
      </bottom>
      <diagonal/>
    </border>
    <border>
      <left style="thin">
        <color indexed="64"/>
      </left>
      <right style="thin">
        <color indexed="64"/>
      </right>
      <top/>
      <bottom style="hair">
        <color indexed="64"/>
      </bottom>
      <diagonal/>
    </border>
    <border>
      <left style="thin">
        <color rgb="FF000000"/>
      </left>
      <right style="thin">
        <color rgb="FF000000"/>
      </right>
      <top style="hair">
        <color rgb="FF000000"/>
      </top>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indexed="64"/>
      </left>
      <right/>
      <top/>
      <bottom/>
      <diagonal/>
    </border>
  </borders>
  <cellStyleXfs count="18">
    <xf numFmtId="0" fontId="0" fillId="0" borderId="0"/>
    <xf numFmtId="164" fontId="4"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20" fillId="0" borderId="0"/>
    <xf numFmtId="164" fontId="5" fillId="0" borderId="0" applyFont="0" applyFill="0" applyBorder="0" applyAlignment="0" applyProtection="0"/>
    <xf numFmtId="0" fontId="5" fillId="0" borderId="0"/>
    <xf numFmtId="0" fontId="3" fillId="0" borderId="0"/>
    <xf numFmtId="164" fontId="5" fillId="0" borderId="0" applyFont="0" applyFill="0" applyBorder="0" applyAlignment="0" applyProtection="0"/>
    <xf numFmtId="167" fontId="5" fillId="0" borderId="0" applyFill="0" applyBorder="0" applyAlignment="0" applyProtection="0"/>
    <xf numFmtId="167" fontId="5" fillId="0" borderId="0" applyFill="0" applyBorder="0" applyAlignment="0" applyProtection="0"/>
    <xf numFmtId="0" fontId="5" fillId="0" borderId="0"/>
    <xf numFmtId="9" fontId="4"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164" fontId="5" fillId="0" borderId="0" applyFont="0" applyFill="0" applyBorder="0" applyAlignment="0" applyProtection="0"/>
    <xf numFmtId="9" fontId="1" fillId="0" borderId="0" applyFont="0" applyFill="0" applyBorder="0" applyAlignment="0" applyProtection="0"/>
  </cellStyleXfs>
  <cellXfs count="318">
    <xf numFmtId="0" fontId="0" fillId="0" borderId="0" xfId="0"/>
    <xf numFmtId="0" fontId="7" fillId="0" borderId="0" xfId="0" applyFont="1" applyAlignment="1">
      <alignment horizontal="right" vertical="center"/>
    </xf>
    <xf numFmtId="0" fontId="1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22" fillId="0" borderId="0" xfId="0" applyFont="1"/>
    <xf numFmtId="0" fontId="9" fillId="0" borderId="0" xfId="0" applyFont="1" applyAlignment="1">
      <alignment horizontal="left"/>
    </xf>
    <xf numFmtId="166" fontId="22" fillId="0" borderId="0" xfId="0" applyNumberFormat="1" applyFont="1"/>
    <xf numFmtId="0" fontId="13" fillId="0" borderId="4" xfId="0" applyFont="1" applyBorder="1" applyAlignment="1">
      <alignment horizontal="center" vertical="center" wrapText="1"/>
    </xf>
    <xf numFmtId="165" fontId="13" fillId="0" borderId="5" xfId="1" applyNumberFormat="1" applyFont="1" applyBorder="1" applyAlignment="1">
      <alignment horizontal="center" vertical="center" wrapText="1"/>
    </xf>
    <xf numFmtId="0" fontId="23" fillId="0" borderId="0" xfId="0" applyFont="1"/>
    <xf numFmtId="166" fontId="15" fillId="0" borderId="5" xfId="1" applyNumberFormat="1" applyFont="1" applyBorder="1" applyAlignment="1">
      <alignment vertical="center" wrapText="1"/>
    </xf>
    <xf numFmtId="165" fontId="15" fillId="0" borderId="5" xfId="1" applyNumberFormat="1" applyFont="1" applyBorder="1" applyAlignment="1">
      <alignment horizontal="center" vertical="center" wrapText="1"/>
    </xf>
    <xf numFmtId="166" fontId="22" fillId="0" borderId="0" xfId="1" applyNumberFormat="1" applyFont="1"/>
    <xf numFmtId="166" fontId="15" fillId="0" borderId="0" xfId="0" applyNumberFormat="1" applyFont="1"/>
    <xf numFmtId="165" fontId="15" fillId="0" borderId="0" xfId="1" applyNumberFormat="1" applyFont="1"/>
    <xf numFmtId="165" fontId="13" fillId="0" borderId="0" xfId="1" applyNumberFormat="1" applyFont="1" applyAlignment="1">
      <alignment horizontal="left" vertical="center"/>
    </xf>
    <xf numFmtId="0" fontId="15" fillId="0" borderId="0" xfId="0" applyFont="1"/>
    <xf numFmtId="166" fontId="15" fillId="0" borderId="0" xfId="1" applyNumberFormat="1" applyFont="1"/>
    <xf numFmtId="0" fontId="18" fillId="0" borderId="0" xfId="0" applyFont="1" applyAlignment="1">
      <alignment horizontal="left" vertical="center"/>
    </xf>
    <xf numFmtId="166" fontId="13" fillId="0" borderId="4" xfId="1" applyNumberFormat="1" applyFont="1" applyBorder="1" applyAlignment="1">
      <alignment horizontal="center" vertical="center" wrapText="1"/>
    </xf>
    <xf numFmtId="166" fontId="15" fillId="0" borderId="5" xfId="1" applyNumberFormat="1" applyFont="1" applyBorder="1" applyAlignment="1">
      <alignment horizontal="center" vertical="center" wrapText="1"/>
    </xf>
    <xf numFmtId="166" fontId="15" fillId="0" borderId="5" xfId="1" applyNumberFormat="1" applyFont="1" applyFill="1" applyBorder="1" applyAlignment="1">
      <alignment horizontal="center" vertical="center" wrapText="1"/>
    </xf>
    <xf numFmtId="166" fontId="15" fillId="2" borderId="5" xfId="1" applyNumberFormat="1"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applyAlignment="1">
      <alignment vertical="center"/>
    </xf>
    <xf numFmtId="0" fontId="24" fillId="0" borderId="0" xfId="0" applyFont="1"/>
    <xf numFmtId="166" fontId="24" fillId="0" borderId="0" xfId="0" applyNumberFormat="1" applyFont="1"/>
    <xf numFmtId="0" fontId="21"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vertical="center" wrapText="1"/>
    </xf>
    <xf numFmtId="166" fontId="15" fillId="0" borderId="6" xfId="1" applyNumberFormat="1" applyFont="1" applyBorder="1" applyAlignment="1">
      <alignment horizontal="center" vertical="center" wrapText="1"/>
    </xf>
    <xf numFmtId="0" fontId="9" fillId="0" borderId="0" xfId="0" applyFont="1"/>
    <xf numFmtId="0" fontId="25" fillId="0" borderId="0" xfId="0" applyFont="1"/>
    <xf numFmtId="0" fontId="12" fillId="0" borderId="2" xfId="0" applyFont="1" applyBorder="1" applyAlignment="1">
      <alignment horizontal="center" vertical="center" wrapText="1"/>
    </xf>
    <xf numFmtId="0" fontId="26" fillId="0" borderId="0" xfId="0" applyFont="1"/>
    <xf numFmtId="0" fontId="13" fillId="0" borderId="0" xfId="0" applyFont="1" applyFill="1" applyAlignment="1">
      <alignment horizontal="left"/>
    </xf>
    <xf numFmtId="0" fontId="15" fillId="0" borderId="0" xfId="0" applyFont="1" applyAlignment="1">
      <alignment horizontal="left"/>
    </xf>
    <xf numFmtId="0" fontId="13" fillId="0" borderId="5" xfId="0" applyFont="1" applyFill="1" applyBorder="1" applyAlignment="1">
      <alignment vertical="center" wrapText="1"/>
    </xf>
    <xf numFmtId="0" fontId="13" fillId="0" borderId="0" xfId="0" applyFont="1" applyAlignment="1">
      <alignment horizontal="left"/>
    </xf>
    <xf numFmtId="166" fontId="13" fillId="2" borderId="4" xfId="1" applyNumberFormat="1" applyFont="1" applyFill="1" applyBorder="1" applyAlignment="1">
      <alignment horizontal="center" vertical="center" wrapText="1"/>
    </xf>
    <xf numFmtId="165" fontId="15" fillId="2" borderId="5" xfId="1" applyNumberFormat="1" applyFont="1" applyFill="1" applyBorder="1" applyAlignment="1">
      <alignment horizontal="center" vertical="center" wrapText="1"/>
    </xf>
    <xf numFmtId="166" fontId="15" fillId="2" borderId="6" xfId="1" applyNumberFormat="1" applyFont="1" applyFill="1" applyBorder="1" applyAlignment="1">
      <alignment horizontal="center" vertical="center" wrapText="1"/>
    </xf>
    <xf numFmtId="164" fontId="24" fillId="0" borderId="0" xfId="1" applyFont="1"/>
    <xf numFmtId="0" fontId="15" fillId="0" borderId="0" xfId="0" applyFont="1" applyFill="1"/>
    <xf numFmtId="166" fontId="13" fillId="0" borderId="0" xfId="1" applyNumberFormat="1" applyFont="1" applyFill="1"/>
    <xf numFmtId="0" fontId="13" fillId="0" borderId="0" xfId="0" applyFont="1" applyFill="1"/>
    <xf numFmtId="166" fontId="15" fillId="0" borderId="0" xfId="1" applyNumberFormat="1" applyFont="1" applyFill="1"/>
    <xf numFmtId="166" fontId="15" fillId="0" borderId="0" xfId="0" applyNumberFormat="1" applyFont="1" applyFill="1"/>
    <xf numFmtId="166" fontId="13" fillId="0" borderId="0" xfId="0" applyNumberFormat="1" applyFont="1" applyFill="1"/>
    <xf numFmtId="0" fontId="13"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horizontal="left"/>
    </xf>
    <xf numFmtId="0" fontId="13"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166" fontId="13" fillId="0" borderId="4" xfId="1" applyNumberFormat="1" applyFont="1" applyFill="1" applyBorder="1" applyAlignment="1">
      <alignment horizontal="center" vertical="center" wrapText="1"/>
    </xf>
    <xf numFmtId="165" fontId="13" fillId="0" borderId="4" xfId="1"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166" fontId="13" fillId="0" borderId="5" xfId="1" applyNumberFormat="1" applyFont="1" applyFill="1" applyBorder="1" applyAlignment="1">
      <alignment horizontal="center" vertical="center" wrapText="1"/>
    </xf>
    <xf numFmtId="165" fontId="13" fillId="0" borderId="5" xfId="1" applyNumberFormat="1" applyFont="1" applyFill="1" applyBorder="1" applyAlignment="1">
      <alignment horizontal="center" vertical="center" wrapText="1"/>
    </xf>
    <xf numFmtId="165" fontId="15" fillId="0" borderId="5" xfId="1" applyNumberFormat="1" applyFont="1" applyFill="1" applyBorder="1" applyAlignment="1">
      <alignment horizontal="center" vertical="center" wrapText="1"/>
    </xf>
    <xf numFmtId="0" fontId="15" fillId="0" borderId="5" xfId="0" applyFont="1" applyFill="1" applyBorder="1" applyAlignment="1">
      <alignment vertical="center" wrapText="1"/>
    </xf>
    <xf numFmtId="0" fontId="15" fillId="0" borderId="5" xfId="0" applyFont="1" applyFill="1" applyBorder="1" applyAlignment="1">
      <alignment horizontal="center" vertical="center" wrapText="1"/>
    </xf>
    <xf numFmtId="0" fontId="18" fillId="0" borderId="5" xfId="0" applyFont="1" applyFill="1" applyBorder="1" applyAlignment="1">
      <alignment vertical="center" wrapText="1"/>
    </xf>
    <xf numFmtId="170" fontId="15" fillId="0" borderId="5" xfId="1" applyNumberFormat="1" applyFont="1" applyFill="1" applyBorder="1" applyAlignment="1">
      <alignment horizontal="center" vertical="center" wrapText="1"/>
    </xf>
    <xf numFmtId="166" fontId="15" fillId="0" borderId="5" xfId="1" applyNumberFormat="1" applyFont="1" applyFill="1" applyBorder="1" applyAlignment="1">
      <alignment vertical="center" wrapText="1"/>
    </xf>
    <xf numFmtId="166" fontId="13" fillId="0" borderId="5" xfId="1" applyNumberFormat="1" applyFont="1" applyFill="1" applyBorder="1" applyAlignment="1">
      <alignment vertical="center" wrapText="1"/>
    </xf>
    <xf numFmtId="0" fontId="15" fillId="0" borderId="5" xfId="0" quotePrefix="1" applyFont="1" applyFill="1" applyBorder="1" applyAlignment="1">
      <alignment horizontal="center" vertical="center" wrapText="1"/>
    </xf>
    <xf numFmtId="14" fontId="25" fillId="0" borderId="1" xfId="0" quotePrefix="1" applyNumberFormat="1" applyFont="1" applyBorder="1" applyAlignment="1">
      <alignment horizontal="center" vertical="center" wrapText="1"/>
    </xf>
    <xf numFmtId="0" fontId="25" fillId="0" borderId="1" xfId="0" quotePrefix="1" applyFont="1" applyBorder="1" applyAlignment="1">
      <alignment horizontal="center" vertical="center" wrapText="1"/>
    </xf>
    <xf numFmtId="0" fontId="30" fillId="0" borderId="0" xfId="0" applyFont="1" applyAlignment="1">
      <alignment horizontal="left" vertical="center"/>
    </xf>
    <xf numFmtId="0" fontId="15" fillId="0" borderId="9" xfId="0" applyFont="1" applyFill="1" applyBorder="1" applyAlignment="1">
      <alignment vertical="center" wrapText="1"/>
    </xf>
    <xf numFmtId="3" fontId="15" fillId="0" borderId="9" xfId="0" applyNumberFormat="1" applyFont="1" applyFill="1" applyBorder="1" applyAlignment="1">
      <alignment vertical="center" wrapText="1"/>
    </xf>
    <xf numFmtId="3" fontId="12" fillId="0" borderId="9" xfId="0" applyNumberFormat="1" applyFont="1" applyFill="1" applyBorder="1" applyAlignment="1">
      <alignment vertical="center" wrapText="1"/>
    </xf>
    <xf numFmtId="3" fontId="11" fillId="0" borderId="9" xfId="0" applyNumberFormat="1" applyFont="1" applyFill="1" applyBorder="1" applyAlignment="1">
      <alignment vertical="center" wrapText="1"/>
    </xf>
    <xf numFmtId="0" fontId="11" fillId="0" borderId="9" xfId="0" applyFont="1" applyFill="1" applyBorder="1" applyAlignment="1">
      <alignment vertical="center" wrapText="1"/>
    </xf>
    <xf numFmtId="0" fontId="12" fillId="0" borderId="8" xfId="0" applyFont="1" applyFill="1" applyBorder="1" applyAlignment="1">
      <alignment horizontal="center" vertical="center" wrapText="1"/>
    </xf>
    <xf numFmtId="3" fontId="12" fillId="0" borderId="8" xfId="0" applyNumberFormat="1" applyFont="1" applyFill="1" applyBorder="1" applyAlignment="1">
      <alignment horizontal="right" vertical="center" wrapText="1"/>
    </xf>
    <xf numFmtId="165" fontId="12" fillId="0" borderId="8" xfId="1"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vertical="center" wrapText="1"/>
    </xf>
    <xf numFmtId="165" fontId="12" fillId="0" borderId="9" xfId="1" applyNumberFormat="1" applyFont="1" applyFill="1" applyBorder="1" applyAlignment="1">
      <alignment horizontal="center" vertical="center" wrapText="1"/>
    </xf>
    <xf numFmtId="3" fontId="12" fillId="0" borderId="9" xfId="0" applyNumberFormat="1" applyFont="1" applyFill="1" applyBorder="1" applyAlignment="1">
      <alignment horizontal="right" vertical="center" wrapText="1"/>
    </xf>
    <xf numFmtId="166" fontId="12" fillId="0" borderId="9" xfId="1" applyNumberFormat="1" applyFont="1" applyFill="1" applyBorder="1" applyAlignment="1">
      <alignment vertical="center" wrapText="1"/>
    </xf>
    <xf numFmtId="0" fontId="11" fillId="0" borderId="9" xfId="0" applyFont="1" applyFill="1" applyBorder="1" applyAlignment="1">
      <alignment horizontal="center" vertical="center" wrapText="1"/>
    </xf>
    <xf numFmtId="166" fontId="11" fillId="0" borderId="9" xfId="0" applyNumberFormat="1" applyFont="1" applyFill="1" applyBorder="1" applyAlignment="1">
      <alignment horizontal="center" vertical="center"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horizontal="center" vertical="center" wrapText="1"/>
    </xf>
    <xf numFmtId="0" fontId="14" fillId="0" borderId="9" xfId="0" applyFont="1" applyFill="1" applyBorder="1" applyAlignment="1">
      <alignment vertical="center" wrapText="1"/>
    </xf>
    <xf numFmtId="3" fontId="11" fillId="0" borderId="9" xfId="0" applyNumberFormat="1" applyFont="1" applyFill="1" applyBorder="1" applyAlignment="1">
      <alignment horizontal="right" vertical="center" wrapText="1"/>
    </xf>
    <xf numFmtId="166" fontId="12" fillId="0" borderId="9" xfId="0" applyNumberFormat="1" applyFont="1" applyFill="1" applyBorder="1" applyAlignment="1">
      <alignment horizontal="center" vertical="center" wrapText="1"/>
    </xf>
    <xf numFmtId="166" fontId="12" fillId="0" borderId="9" xfId="1" applyNumberFormat="1" applyFont="1" applyFill="1" applyBorder="1" applyAlignment="1">
      <alignment horizontal="center" vertical="center" wrapText="1"/>
    </xf>
    <xf numFmtId="0" fontId="11" fillId="0" borderId="9" xfId="0" quotePrefix="1" applyFont="1" applyFill="1" applyBorder="1" applyAlignment="1">
      <alignment horizontal="center" vertical="center" wrapText="1"/>
    </xf>
    <xf numFmtId="0" fontId="11" fillId="0" borderId="9"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3" fontId="12" fillId="0" borderId="10" xfId="0" applyNumberFormat="1" applyFont="1" applyFill="1" applyBorder="1" applyAlignment="1">
      <alignment horizontal="right" vertical="center" wrapText="1"/>
    </xf>
    <xf numFmtId="165" fontId="12" fillId="0" borderId="10"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6" xfId="0" applyFont="1" applyBorder="1" applyAlignment="1">
      <alignment vertical="center" wrapText="1"/>
    </xf>
    <xf numFmtId="166" fontId="13" fillId="0" borderId="16" xfId="1" applyNumberFormat="1" applyFont="1" applyBorder="1" applyAlignment="1">
      <alignment vertical="center" wrapText="1"/>
    </xf>
    <xf numFmtId="165" fontId="13" fillId="0" borderId="16" xfId="1" applyNumberFormat="1" applyFont="1" applyBorder="1" applyAlignment="1">
      <alignment horizontal="center" vertical="center" wrapText="1"/>
    </xf>
    <xf numFmtId="0" fontId="13" fillId="0" borderId="0" xfId="0" applyFont="1"/>
    <xf numFmtId="166" fontId="13" fillId="0" borderId="0" xfId="0" applyNumberFormat="1" applyFont="1"/>
    <xf numFmtId="0" fontId="15" fillId="0" borderId="5" xfId="0" applyFont="1" applyBorder="1" applyAlignment="1">
      <alignment horizontal="center" vertical="center" wrapText="1"/>
    </xf>
    <xf numFmtId="0" fontId="15" fillId="0" borderId="5" xfId="0" applyFont="1" applyBorder="1" applyAlignment="1">
      <alignment vertical="center" wrapText="1"/>
    </xf>
    <xf numFmtId="166" fontId="15" fillId="2" borderId="5" xfId="1" applyNumberFormat="1" applyFont="1" applyFill="1" applyBorder="1" applyAlignment="1">
      <alignment vertical="center" wrapText="1"/>
    </xf>
    <xf numFmtId="165" fontId="15" fillId="0" borderId="0" xfId="1" applyNumberFormat="1" applyFont="1" applyFill="1"/>
    <xf numFmtId="0" fontId="13" fillId="0" borderId="5" xfId="0" applyFont="1" applyBorder="1" applyAlignment="1">
      <alignment horizontal="center" vertical="center" wrapText="1"/>
    </xf>
    <xf numFmtId="0" fontId="13" fillId="0" borderId="5" xfId="0" applyFont="1" applyBorder="1" applyAlignment="1">
      <alignment vertical="center" wrapText="1"/>
    </xf>
    <xf numFmtId="166" fontId="13" fillId="0" borderId="5" xfId="1" applyNumberFormat="1" applyFont="1" applyBorder="1" applyAlignment="1">
      <alignment vertical="center" wrapText="1"/>
    </xf>
    <xf numFmtId="166" fontId="13" fillId="2" borderId="5" xfId="1" applyNumberFormat="1" applyFont="1" applyFill="1" applyBorder="1" applyAlignment="1">
      <alignment vertical="center" wrapText="1"/>
    </xf>
    <xf numFmtId="0" fontId="13" fillId="0" borderId="6" xfId="0" applyFont="1" applyBorder="1" applyAlignment="1">
      <alignment horizontal="center" vertical="center" wrapText="1"/>
    </xf>
    <xf numFmtId="0" fontId="13" fillId="0" borderId="6" xfId="0" applyFont="1" applyBorder="1" applyAlignment="1">
      <alignment vertical="center" wrapText="1"/>
    </xf>
    <xf numFmtId="166" fontId="13" fillId="0" borderId="10" xfId="1" applyNumberFormat="1" applyFont="1" applyFill="1" applyBorder="1" applyAlignment="1">
      <alignment vertical="center" wrapText="1"/>
    </xf>
    <xf numFmtId="165" fontId="13" fillId="0" borderId="19" xfId="1" applyNumberFormat="1" applyFont="1" applyBorder="1" applyAlignment="1">
      <alignment horizontal="center" vertical="center" wrapText="1"/>
    </xf>
    <xf numFmtId="0" fontId="13" fillId="0" borderId="0" xfId="0" applyFont="1" applyAlignment="1">
      <alignment vertical="center"/>
    </xf>
    <xf numFmtId="0" fontId="22" fillId="0" borderId="0" xfId="0" applyFont="1" applyAlignment="1">
      <alignment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vertical="center" wrapText="1"/>
    </xf>
    <xf numFmtId="3" fontId="6" fillId="0" borderId="9" xfId="0" applyNumberFormat="1" applyFont="1" applyBorder="1" applyAlignment="1">
      <alignment horizontal="right" vertical="center" wrapText="1"/>
    </xf>
    <xf numFmtId="168" fontId="6" fillId="0" borderId="9" xfId="13" applyNumberFormat="1" applyFont="1" applyBorder="1" applyAlignment="1">
      <alignment horizontal="center" vertical="center" wrapText="1"/>
    </xf>
    <xf numFmtId="3" fontId="22" fillId="0" borderId="0" xfId="0" applyNumberFormat="1" applyFont="1" applyAlignment="1">
      <alignment vertical="center"/>
    </xf>
    <xf numFmtId="3" fontId="23" fillId="0" borderId="0" xfId="0" applyNumberFormat="1" applyFont="1" applyAlignment="1">
      <alignment vertical="center"/>
    </xf>
    <xf numFmtId="0" fontId="23" fillId="0" borderId="0" xfId="0" applyFont="1" applyAlignment="1">
      <alignment vertical="center"/>
    </xf>
    <xf numFmtId="0" fontId="8" fillId="0" borderId="9" xfId="0" applyFont="1" applyBorder="1" applyAlignment="1">
      <alignment horizontal="center" vertical="center" wrapText="1"/>
    </xf>
    <xf numFmtId="0" fontId="8" fillId="0" borderId="9" xfId="0" applyFont="1" applyBorder="1" applyAlignment="1">
      <alignment vertical="center" wrapText="1"/>
    </xf>
    <xf numFmtId="3" fontId="8" fillId="0" borderId="9" xfId="0" applyNumberFormat="1" applyFont="1" applyBorder="1" applyAlignment="1">
      <alignment horizontal="right" vertical="center" wrapText="1"/>
    </xf>
    <xf numFmtId="168" fontId="8" fillId="0" borderId="9" xfId="13" applyNumberFormat="1" applyFont="1" applyBorder="1" applyAlignment="1">
      <alignment horizontal="center" vertical="center" wrapText="1"/>
    </xf>
    <xf numFmtId="0" fontId="8" fillId="0" borderId="9" xfId="0" quotePrefix="1"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3" fontId="7" fillId="0" borderId="9" xfId="0" applyNumberFormat="1" applyFont="1" applyBorder="1" applyAlignment="1">
      <alignment horizontal="right" vertical="center" wrapText="1"/>
    </xf>
    <xf numFmtId="168" fontId="7" fillId="0" borderId="9" xfId="13" applyNumberFormat="1" applyFont="1" applyBorder="1" applyAlignment="1">
      <alignment horizontal="center" vertical="center" wrapText="1"/>
    </xf>
    <xf numFmtId="0" fontId="33" fillId="0" borderId="0" xfId="0" applyFont="1" applyAlignment="1">
      <alignment vertical="center"/>
    </xf>
    <xf numFmtId="3" fontId="6" fillId="0" borderId="9" xfId="0" applyNumberFormat="1" applyFont="1" applyBorder="1" applyAlignment="1">
      <alignment vertical="center" wrapText="1"/>
    </xf>
    <xf numFmtId="0" fontId="7" fillId="0" borderId="9" xfId="0" quotePrefix="1" applyFont="1" applyBorder="1" applyAlignment="1">
      <alignment horizontal="center" vertical="center" wrapText="1"/>
    </xf>
    <xf numFmtId="0" fontId="6" fillId="0" borderId="9" xfId="0" quotePrefix="1" applyFont="1" applyBorder="1" applyAlignment="1">
      <alignment horizontal="center" vertical="center" wrapText="1"/>
    </xf>
    <xf numFmtId="0" fontId="15" fillId="0" borderId="9" xfId="0" applyFont="1" applyBorder="1" applyAlignment="1">
      <alignment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3" fontId="6" fillId="0" borderId="10" xfId="0" applyNumberFormat="1" applyFont="1" applyBorder="1" applyAlignment="1">
      <alignment horizontal="right" vertical="center" wrapText="1"/>
    </xf>
    <xf numFmtId="168" fontId="6" fillId="0" borderId="10" xfId="13" applyNumberFormat="1" applyFont="1" applyBorder="1" applyAlignment="1">
      <alignment horizontal="center" vertical="center" wrapText="1"/>
    </xf>
    <xf numFmtId="164" fontId="15" fillId="0" borderId="9" xfId="1" applyFont="1" applyFill="1" applyBorder="1" applyAlignment="1">
      <alignment vertical="center" wrapText="1"/>
    </xf>
    <xf numFmtId="0" fontId="14" fillId="0" borderId="0" xfId="0" applyFont="1" applyFill="1" applyAlignment="1">
      <alignment horizontal="left" vertical="center"/>
    </xf>
    <xf numFmtId="0" fontId="13" fillId="0" borderId="0" xfId="0" applyFont="1" applyFill="1" applyAlignment="1">
      <alignment vertical="center"/>
    </xf>
    <xf numFmtId="166" fontId="13" fillId="0" borderId="0" xfId="1" applyNumberFormat="1" applyFont="1" applyFill="1" applyAlignment="1">
      <alignment vertical="center"/>
    </xf>
    <xf numFmtId="166" fontId="13" fillId="0" borderId="0" xfId="0" applyNumberFormat="1" applyFont="1" applyFill="1" applyAlignment="1">
      <alignment vertical="center"/>
    </xf>
    <xf numFmtId="166" fontId="15" fillId="0" borderId="0" xfId="0" applyNumberFormat="1" applyFont="1" applyFill="1" applyAlignment="1">
      <alignment vertical="center"/>
    </xf>
    <xf numFmtId="0" fontId="15" fillId="0" borderId="0" xfId="0" applyFont="1" applyFill="1" applyAlignment="1">
      <alignment vertical="center"/>
    </xf>
    <xf numFmtId="170" fontId="15" fillId="0" borderId="0" xfId="0" applyNumberFormat="1" applyFont="1" applyFill="1" applyAlignment="1">
      <alignment vertical="center"/>
    </xf>
    <xf numFmtId="166" fontId="13" fillId="0" borderId="5" xfId="1" applyNumberFormat="1" applyFont="1" applyFill="1" applyBorder="1" applyAlignment="1">
      <alignment vertical="center"/>
    </xf>
    <xf numFmtId="0" fontId="13" fillId="0" borderId="5" xfId="0" applyFont="1" applyFill="1" applyBorder="1" applyAlignment="1">
      <alignment horizontal="center" vertical="center"/>
    </xf>
    <xf numFmtId="0" fontId="13" fillId="0" borderId="5" xfId="0" applyFont="1" applyFill="1" applyBorder="1" applyAlignment="1">
      <alignment vertical="center"/>
    </xf>
    <xf numFmtId="0" fontId="13" fillId="0" borderId="20" xfId="0" applyFont="1" applyFill="1" applyBorder="1" applyAlignment="1">
      <alignment horizontal="center" vertical="center"/>
    </xf>
    <xf numFmtId="0" fontId="13" fillId="0" borderId="20" xfId="0" applyFont="1" applyFill="1" applyBorder="1" applyAlignment="1">
      <alignment vertical="center"/>
    </xf>
    <xf numFmtId="166" fontId="13" fillId="0" borderId="20" xfId="1" applyNumberFormat="1" applyFont="1" applyFill="1" applyBorder="1" applyAlignment="1">
      <alignment vertical="center"/>
    </xf>
    <xf numFmtId="165" fontId="15" fillId="0" borderId="20" xfId="1" applyNumberFormat="1" applyFont="1" applyFill="1" applyBorder="1" applyAlignment="1">
      <alignment horizontal="center" vertical="center" wrapText="1"/>
    </xf>
    <xf numFmtId="0" fontId="34" fillId="0" borderId="0" xfId="0" applyFont="1"/>
    <xf numFmtId="0" fontId="10" fillId="0" borderId="9"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10" xfId="0" applyFont="1" applyFill="1" applyBorder="1" applyAlignment="1">
      <alignment horizontal="center" vertical="center" wrapText="1"/>
    </xf>
    <xf numFmtId="0" fontId="35" fillId="0" borderId="0" xfId="0" applyFont="1"/>
    <xf numFmtId="0" fontId="30"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10" fillId="0" borderId="15" xfId="0" applyFont="1" applyFill="1" applyBorder="1" applyAlignment="1">
      <alignment vertical="center" wrapText="1"/>
    </xf>
    <xf numFmtId="0" fontId="30" fillId="0" borderId="15" xfId="0" applyFont="1" applyFill="1" applyBorder="1" applyAlignment="1">
      <alignment vertical="center" wrapText="1"/>
    </xf>
    <xf numFmtId="0" fontId="10" fillId="0" borderId="14" xfId="0" applyFont="1" applyFill="1" applyBorder="1" applyAlignment="1">
      <alignment vertical="center" wrapText="1"/>
    </xf>
    <xf numFmtId="0" fontId="17" fillId="0" borderId="0" xfId="0" applyFont="1" applyFill="1" applyAlignment="1">
      <alignment horizontal="left" vertical="center"/>
    </xf>
    <xf numFmtId="0" fontId="11" fillId="0" borderId="0" xfId="0" applyFont="1" applyFill="1"/>
    <xf numFmtId="0" fontId="37" fillId="0" borderId="0" xfId="0" applyFont="1" applyFill="1" applyBorder="1" applyAlignment="1">
      <alignment vertical="center" wrapText="1"/>
    </xf>
    <xf numFmtId="166" fontId="36" fillId="0" borderId="0" xfId="0" applyNumberFormat="1" applyFont="1" applyFill="1" applyAlignment="1">
      <alignment horizontal="center" vertical="center" wrapText="1"/>
    </xf>
    <xf numFmtId="0" fontId="12" fillId="0" borderId="0" xfId="0" applyFont="1" applyFill="1"/>
    <xf numFmtId="0" fontId="1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21" fillId="0" borderId="0" xfId="0" applyFont="1" applyFill="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7" fillId="0" borderId="0" xfId="0" applyFont="1" applyFill="1"/>
    <xf numFmtId="166" fontId="13" fillId="0" borderId="8" xfId="1" applyNumberFormat="1" applyFont="1" applyFill="1" applyBorder="1" applyAlignment="1">
      <alignment horizontal="center" vertical="center" wrapText="1"/>
    </xf>
    <xf numFmtId="166" fontId="13" fillId="0" borderId="9" xfId="1" applyNumberFormat="1" applyFont="1" applyFill="1" applyBorder="1" applyAlignment="1">
      <alignment horizontal="center" vertical="center" wrapText="1"/>
    </xf>
    <xf numFmtId="165" fontId="13" fillId="0" borderId="9" xfId="1" applyNumberFormat="1" applyFont="1" applyFill="1" applyBorder="1" applyAlignment="1">
      <alignment horizontal="center" vertical="center" wrapText="1"/>
    </xf>
    <xf numFmtId="166" fontId="13" fillId="0" borderId="9" xfId="1" applyNumberFormat="1" applyFont="1" applyFill="1" applyBorder="1" applyAlignment="1">
      <alignment vertical="center" wrapText="1"/>
    </xf>
    <xf numFmtId="3" fontId="13" fillId="0" borderId="0" xfId="0" applyNumberFormat="1" applyFont="1" applyFill="1" applyAlignment="1">
      <alignment vertical="center"/>
    </xf>
    <xf numFmtId="165" fontId="15" fillId="0" borderId="9" xfId="6" quotePrefix="1" applyNumberFormat="1" applyFont="1" applyFill="1" applyBorder="1" applyAlignment="1">
      <alignment horizontal="center" vertical="center" wrapText="1"/>
    </xf>
    <xf numFmtId="166" fontId="15" fillId="0" borderId="9" xfId="6" applyNumberFormat="1" applyFont="1" applyFill="1" applyBorder="1" applyAlignment="1">
      <alignment horizontal="left" vertical="center" wrapText="1"/>
    </xf>
    <xf numFmtId="166" fontId="15" fillId="0" borderId="9" xfId="1" applyNumberFormat="1" applyFont="1" applyFill="1" applyBorder="1" applyAlignment="1">
      <alignment horizontal="center" vertical="center" wrapText="1"/>
    </xf>
    <xf numFmtId="166" fontId="15" fillId="0" borderId="9" xfId="1" applyNumberFormat="1" applyFont="1" applyFill="1" applyBorder="1" applyAlignment="1">
      <alignment vertical="center"/>
    </xf>
    <xf numFmtId="165" fontId="15" fillId="0" borderId="9" xfId="1" applyNumberFormat="1" applyFont="1" applyFill="1" applyBorder="1" applyAlignment="1">
      <alignment horizontal="center" vertical="center" wrapText="1"/>
    </xf>
    <xf numFmtId="166" fontId="15" fillId="0" borderId="9" xfId="6" quotePrefix="1" applyNumberFormat="1" applyFont="1" applyFill="1" applyBorder="1" applyAlignment="1">
      <alignment horizontal="center" vertical="center"/>
    </xf>
    <xf numFmtId="0" fontId="15" fillId="0" borderId="9" xfId="7" applyFont="1" applyFill="1" applyBorder="1" applyAlignment="1">
      <alignment vertical="center" wrapText="1"/>
    </xf>
    <xf numFmtId="166" fontId="15" fillId="0" borderId="9" xfId="6" applyNumberFormat="1" applyFont="1" applyFill="1" applyBorder="1" applyAlignment="1">
      <alignment vertical="center" wrapText="1"/>
    </xf>
    <xf numFmtId="166" fontId="15" fillId="0" borderId="9" xfId="1" applyNumberFormat="1" applyFont="1" applyFill="1" applyBorder="1" applyAlignment="1">
      <alignment horizontal="right" vertical="center" wrapText="1"/>
    </xf>
    <xf numFmtId="3" fontId="15" fillId="0" borderId="9" xfId="1" applyNumberFormat="1" applyFont="1" applyFill="1" applyBorder="1" applyAlignment="1">
      <alignment horizontal="right" vertical="center" wrapText="1"/>
    </xf>
    <xf numFmtId="0" fontId="15" fillId="0" borderId="9" xfId="0" applyFont="1" applyFill="1" applyBorder="1" applyAlignment="1" applyProtection="1">
      <alignment horizontal="left" vertical="center" wrapText="1"/>
      <protection locked="0"/>
    </xf>
    <xf numFmtId="3" fontId="15" fillId="0" borderId="9" xfId="4" applyNumberFormat="1" applyFont="1" applyFill="1" applyBorder="1" applyAlignment="1">
      <alignment vertical="center" wrapText="1"/>
    </xf>
    <xf numFmtId="0" fontId="15" fillId="0" borderId="9" xfId="4" applyFont="1" applyFill="1" applyBorder="1" applyAlignment="1">
      <alignment vertical="center" wrapText="1"/>
    </xf>
    <xf numFmtId="0" fontId="15" fillId="0" borderId="9" xfId="0" applyFont="1" applyFill="1" applyBorder="1" applyAlignment="1">
      <alignment horizontal="left" vertical="center" wrapText="1"/>
    </xf>
    <xf numFmtId="166" fontId="13" fillId="0" borderId="9" xfId="1" quotePrefix="1" applyNumberFormat="1" applyFont="1" applyFill="1" applyBorder="1" applyAlignment="1">
      <alignment horizontal="center" vertical="center" wrapText="1"/>
    </xf>
    <xf numFmtId="3" fontId="13" fillId="0" borderId="9" xfId="4" applyNumberFormat="1" applyFont="1" applyFill="1" applyBorder="1" applyAlignment="1">
      <alignment horizontal="left" vertical="center" wrapText="1"/>
    </xf>
    <xf numFmtId="166" fontId="15" fillId="0" borderId="9" xfId="1" quotePrefix="1" applyNumberFormat="1" applyFont="1" applyFill="1" applyBorder="1" applyAlignment="1">
      <alignment horizontal="center" vertical="center" wrapText="1"/>
    </xf>
    <xf numFmtId="166" fontId="15" fillId="0" borderId="9" xfId="1" applyNumberFormat="1" applyFont="1" applyFill="1" applyBorder="1" applyAlignment="1">
      <alignment horizontal="left" vertical="center" wrapText="1"/>
    </xf>
    <xf numFmtId="166" fontId="13" fillId="0" borderId="9" xfId="1" applyNumberFormat="1" applyFont="1" applyFill="1" applyBorder="1" applyAlignment="1">
      <alignment horizontal="left" vertical="center" wrapText="1"/>
    </xf>
    <xf numFmtId="166" fontId="13" fillId="0" borderId="9" xfId="1" applyNumberFormat="1" applyFont="1" applyFill="1" applyBorder="1" applyAlignment="1">
      <alignment vertical="center"/>
    </xf>
    <xf numFmtId="0" fontId="13" fillId="0" borderId="9" xfId="0" applyFont="1" applyFill="1" applyBorder="1" applyAlignment="1">
      <alignment horizontal="center" vertical="center" wrapText="1"/>
    </xf>
    <xf numFmtId="0" fontId="13" fillId="0" borderId="9" xfId="0" applyFont="1" applyFill="1" applyBorder="1" applyAlignment="1">
      <alignment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lignment vertical="center" wrapText="1"/>
    </xf>
    <xf numFmtId="166" fontId="13" fillId="0" borderId="15" xfId="1" applyNumberFormat="1" applyFont="1" applyFill="1" applyBorder="1" applyAlignment="1">
      <alignment horizontal="center" vertical="center" wrapText="1"/>
    </xf>
    <xf numFmtId="166" fontId="13" fillId="0" borderId="15" xfId="1" applyNumberFormat="1" applyFont="1" applyFill="1" applyBorder="1" applyAlignment="1">
      <alignment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vertical="center" wrapText="1"/>
    </xf>
    <xf numFmtId="166" fontId="13" fillId="0" borderId="10" xfId="1" applyNumberFormat="1" applyFont="1" applyFill="1" applyBorder="1" applyAlignment="1">
      <alignment horizontal="center" vertical="center" wrapText="1"/>
    </xf>
    <xf numFmtId="166" fontId="13" fillId="0" borderId="10" xfId="1" applyNumberFormat="1" applyFont="1" applyFill="1" applyBorder="1" applyAlignment="1">
      <alignment vertical="center"/>
    </xf>
    <xf numFmtId="165" fontId="15" fillId="0" borderId="10" xfId="1" applyNumberFormat="1" applyFont="1" applyFill="1" applyBorder="1" applyAlignment="1">
      <alignment horizontal="center" vertical="center" wrapText="1"/>
    </xf>
    <xf numFmtId="0" fontId="40" fillId="0" borderId="0" xfId="0" applyFont="1" applyFill="1"/>
    <xf numFmtId="165" fontId="13" fillId="2" borderId="4" xfId="1" applyNumberFormat="1" applyFont="1" applyFill="1" applyBorder="1" applyAlignment="1">
      <alignment horizontal="center" vertical="center" wrapText="1"/>
    </xf>
    <xf numFmtId="165" fontId="13" fillId="0" borderId="4" xfId="1" applyNumberFormat="1"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24" fillId="0" borderId="0" xfId="0" applyFont="1" applyFill="1"/>
    <xf numFmtId="0" fontId="10" fillId="0" borderId="0" xfId="0" applyFont="1" applyFill="1" applyAlignment="1">
      <alignment vertical="center"/>
    </xf>
    <xf numFmtId="0" fontId="41" fillId="0" borderId="0" xfId="0" applyFont="1" applyFill="1"/>
    <xf numFmtId="0" fontId="38" fillId="0" borderId="0" xfId="0" applyFont="1" applyFill="1" applyAlignment="1">
      <alignment horizontal="center" vertical="center"/>
    </xf>
    <xf numFmtId="0" fontId="24" fillId="0" borderId="0" xfId="0" applyFont="1" applyFill="1" applyAlignment="1">
      <alignment vertical="center"/>
    </xf>
    <xf numFmtId="0" fontId="1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0" fillId="0" borderId="17" xfId="0" applyFont="1" applyFill="1" applyBorder="1" applyAlignment="1">
      <alignment horizontal="center" vertical="center" wrapText="1"/>
    </xf>
    <xf numFmtId="3" fontId="21" fillId="0" borderId="5" xfId="0" applyNumberFormat="1" applyFont="1" applyFill="1" applyBorder="1" applyAlignment="1">
      <alignment horizontal="right" vertical="center" wrapText="1"/>
    </xf>
    <xf numFmtId="3" fontId="30" fillId="0" borderId="5" xfId="0" applyNumberFormat="1" applyFont="1" applyFill="1" applyBorder="1" applyAlignment="1">
      <alignment horizontal="right" vertical="center" wrapText="1"/>
    </xf>
    <xf numFmtId="9" fontId="30" fillId="0" borderId="5" xfId="17" applyFont="1" applyFill="1" applyBorder="1" applyAlignment="1">
      <alignment horizontal="right" vertical="center" wrapText="1"/>
    </xf>
    <xf numFmtId="3" fontId="16" fillId="0" borderId="9" xfId="15" applyNumberFormat="1" applyFont="1" applyFill="1" applyBorder="1" applyAlignment="1">
      <alignment vertical="center" wrapText="1"/>
    </xf>
    <xf numFmtId="3" fontId="16" fillId="0" borderId="9" xfId="0" applyNumberFormat="1" applyFont="1" applyFill="1" applyBorder="1" applyAlignment="1">
      <alignment vertical="center" wrapText="1"/>
    </xf>
    <xf numFmtId="3" fontId="16" fillId="0" borderId="5" xfId="0" applyNumberFormat="1" applyFont="1" applyFill="1" applyBorder="1" applyAlignment="1">
      <alignment vertical="center" wrapText="1"/>
    </xf>
    <xf numFmtId="3" fontId="10" fillId="0" borderId="9" xfId="15" applyNumberFormat="1" applyFont="1" applyFill="1" applyBorder="1" applyAlignment="1">
      <alignment horizontal="right" vertical="center" wrapText="1"/>
    </xf>
    <xf numFmtId="3" fontId="10" fillId="0" borderId="9" xfId="0" applyNumberFormat="1" applyFont="1" applyFill="1" applyBorder="1" applyAlignment="1">
      <alignment horizontal="right" vertical="center" wrapText="1"/>
    </xf>
    <xf numFmtId="3" fontId="25" fillId="0" borderId="9" xfId="0" applyNumberFormat="1" applyFont="1" applyFill="1" applyBorder="1" applyAlignment="1">
      <alignment horizontal="right" vertical="center" wrapText="1"/>
    </xf>
    <xf numFmtId="9" fontId="10" fillId="0" borderId="5" xfId="17" applyFont="1" applyFill="1" applyBorder="1" applyAlignment="1">
      <alignment horizontal="right" vertical="center" wrapText="1"/>
    </xf>
    <xf numFmtId="3" fontId="24" fillId="0" borderId="0" xfId="0" applyNumberFormat="1" applyFont="1" applyFill="1"/>
    <xf numFmtId="3" fontId="10" fillId="0" borderId="9" xfId="0" applyNumberFormat="1" applyFont="1" applyFill="1" applyBorder="1" applyAlignment="1">
      <alignment vertical="center" wrapText="1"/>
    </xf>
    <xf numFmtId="3" fontId="10" fillId="0" borderId="5" xfId="0" applyNumberFormat="1" applyFont="1" applyFill="1" applyBorder="1" applyAlignment="1">
      <alignment vertical="center" wrapText="1"/>
    </xf>
    <xf numFmtId="9" fontId="10" fillId="0" borderId="18" xfId="17" applyFont="1" applyFill="1" applyBorder="1" applyAlignment="1">
      <alignment horizontal="right" vertical="center" wrapText="1"/>
    </xf>
    <xf numFmtId="3" fontId="16" fillId="0" borderId="15" xfId="0" applyNumberFormat="1" applyFont="1" applyFill="1" applyBorder="1" applyAlignment="1">
      <alignment vertical="center" wrapText="1"/>
    </xf>
    <xf numFmtId="3" fontId="10" fillId="0" borderId="15" xfId="0" applyNumberFormat="1" applyFont="1" applyFill="1" applyBorder="1" applyAlignment="1">
      <alignment vertical="center" wrapText="1"/>
    </xf>
    <xf numFmtId="9" fontId="30" fillId="0" borderId="16" xfId="17" applyFont="1" applyFill="1" applyBorder="1" applyAlignment="1">
      <alignment horizontal="right" vertical="center" wrapText="1"/>
    </xf>
    <xf numFmtId="169" fontId="21" fillId="0" borderId="5" xfId="15" applyNumberFormat="1" applyFont="1" applyFill="1" applyBorder="1" applyAlignment="1">
      <alignment horizontal="right" vertical="center" wrapText="1"/>
    </xf>
    <xf numFmtId="0" fontId="26" fillId="0" borderId="0" xfId="0" applyFont="1" applyFill="1"/>
    <xf numFmtId="3" fontId="16" fillId="0" borderId="10" xfId="15" applyNumberFormat="1" applyFont="1" applyFill="1" applyBorder="1" applyAlignment="1">
      <alignment vertical="center" wrapText="1"/>
    </xf>
    <xf numFmtId="3" fontId="16" fillId="0" borderId="10" xfId="0" applyNumberFormat="1" applyFont="1" applyFill="1" applyBorder="1" applyAlignment="1">
      <alignment vertical="center" wrapText="1"/>
    </xf>
    <xf numFmtId="3" fontId="10" fillId="0" borderId="10" xfId="15" applyNumberFormat="1" applyFont="1" applyFill="1" applyBorder="1" applyAlignment="1">
      <alignment vertical="center" wrapText="1"/>
    </xf>
    <xf numFmtId="3" fontId="10" fillId="0" borderId="10" xfId="0" applyNumberFormat="1" applyFont="1" applyFill="1" applyBorder="1" applyAlignment="1">
      <alignment vertical="center" wrapText="1"/>
    </xf>
    <xf numFmtId="9" fontId="10" fillId="0" borderId="19" xfId="17" applyFont="1" applyFill="1" applyBorder="1" applyAlignment="1">
      <alignment horizontal="right" vertical="center" wrapText="1"/>
    </xf>
    <xf numFmtId="9" fontId="10" fillId="0" borderId="20" xfId="17" applyFont="1" applyFill="1" applyBorder="1" applyAlignment="1">
      <alignment horizontal="right" vertical="center" wrapText="1"/>
    </xf>
    <xf numFmtId="169" fontId="11" fillId="0" borderId="0" xfId="0" applyNumberFormat="1" applyFont="1" applyFill="1"/>
    <xf numFmtId="0" fontId="32" fillId="0" borderId="1" xfId="0" applyFont="1" applyFill="1" applyBorder="1" applyAlignment="1">
      <alignment horizontal="center" vertical="center" wrapText="1"/>
    </xf>
    <xf numFmtId="0" fontId="24" fillId="0" borderId="21" xfId="0" applyFont="1" applyFill="1" applyBorder="1" applyAlignment="1">
      <alignment vertical="center"/>
    </xf>
    <xf numFmtId="166" fontId="15" fillId="0" borderId="9" xfId="1" applyNumberFormat="1" applyFont="1" applyFill="1" applyBorder="1" applyAlignment="1">
      <alignment vertical="center" wrapText="1"/>
    </xf>
    <xf numFmtId="166" fontId="15" fillId="2" borderId="9" xfId="1" applyNumberFormat="1" applyFont="1" applyFill="1" applyBorder="1" applyAlignment="1">
      <alignment vertical="center" wrapText="1"/>
    </xf>
    <xf numFmtId="0" fontId="8" fillId="0" borderId="1" xfId="0" applyFont="1" applyBorder="1" applyAlignment="1">
      <alignment horizontal="center" vertical="center" wrapText="1"/>
    </xf>
    <xf numFmtId="0" fontId="12" fillId="0" borderId="0" xfId="0" applyFont="1" applyFill="1" applyAlignment="1">
      <alignment vertical="center"/>
    </xf>
    <xf numFmtId="0" fontId="11" fillId="0" borderId="0" xfId="0" applyFont="1" applyFill="1" applyAlignment="1">
      <alignment vertical="center"/>
    </xf>
    <xf numFmtId="0" fontId="41" fillId="0" borderId="0" xfId="0" applyFont="1" applyFill="1" applyAlignment="1">
      <alignment vertical="center"/>
    </xf>
    <xf numFmtId="3" fontId="11" fillId="0" borderId="0" xfId="0" applyNumberFormat="1" applyFont="1" applyFill="1" applyAlignment="1">
      <alignment vertical="center"/>
    </xf>
    <xf numFmtId="166" fontId="12" fillId="0" borderId="0" xfId="0" applyNumberFormat="1" applyFont="1" applyFill="1" applyAlignment="1">
      <alignment vertical="center"/>
    </xf>
    <xf numFmtId="165" fontId="12" fillId="0" borderId="0" xfId="1" applyNumberFormat="1" applyFont="1" applyAlignment="1">
      <alignment horizontal="left" vertical="center"/>
    </xf>
    <xf numFmtId="0" fontId="11" fillId="0" borderId="1" xfId="0" applyFont="1" applyFill="1" applyBorder="1" applyAlignment="1">
      <alignment horizontal="center" vertical="center" wrapText="1"/>
    </xf>
    <xf numFmtId="0" fontId="24" fillId="0" borderId="0" xfId="0" applyFont="1" applyBorder="1"/>
    <xf numFmtId="166" fontId="16" fillId="0" borderId="0" xfId="1" applyNumberFormat="1" applyFont="1" applyBorder="1" applyAlignment="1">
      <alignment horizontal="center" vertical="center" wrapText="1"/>
    </xf>
    <xf numFmtId="165" fontId="13" fillId="2" borderId="5" xfId="1" applyNumberFormat="1" applyFont="1" applyFill="1" applyBorder="1" applyAlignment="1">
      <alignment horizontal="center" vertical="center" wrapText="1"/>
    </xf>
    <xf numFmtId="0" fontId="13" fillId="2" borderId="0" xfId="0" applyFont="1" applyFill="1" applyAlignment="1">
      <alignment vertical="center"/>
    </xf>
    <xf numFmtId="166" fontId="15" fillId="2" borderId="0" xfId="0" applyNumberFormat="1" applyFont="1" applyFill="1" applyAlignment="1">
      <alignment vertical="center"/>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6"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166" fontId="13" fillId="2" borderId="5" xfId="1" applyNumberFormat="1"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6" fillId="0" borderId="1" xfId="0" applyFont="1" applyBorder="1" applyAlignment="1">
      <alignment horizontal="center" vertical="center" wrapText="1"/>
    </xf>
    <xf numFmtId="0" fontId="12" fillId="0" borderId="0" xfId="0" applyFont="1" applyFill="1" applyAlignment="1">
      <alignment horizontal="center" vertical="center" wrapText="1"/>
    </xf>
    <xf numFmtId="0" fontId="14" fillId="0" borderId="0" xfId="0" applyFont="1" applyFill="1" applyAlignment="1">
      <alignment horizontal="center" vertical="center"/>
    </xf>
    <xf numFmtId="0" fontId="14" fillId="0" borderId="7" xfId="0" applyFont="1" applyBorder="1" applyAlignment="1">
      <alignment horizontal="right"/>
    </xf>
    <xf numFmtId="0" fontId="12" fillId="0"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38" fillId="0" borderId="0" xfId="0" applyFont="1" applyFill="1" applyAlignment="1">
      <alignment horizontal="left"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12" fillId="0" borderId="0" xfId="0" applyFont="1" applyFill="1" applyAlignment="1">
      <alignment horizontal="center"/>
    </xf>
    <xf numFmtId="0" fontId="28" fillId="0" borderId="1" xfId="0" applyFont="1" applyFill="1" applyBorder="1" applyAlignment="1">
      <alignment horizontal="center" vertical="center" wrapText="1"/>
    </xf>
    <xf numFmtId="0" fontId="36" fillId="0" borderId="0" xfId="0" applyFont="1" applyFill="1" applyAlignment="1">
      <alignment horizontal="center" vertical="center" wrapText="1"/>
    </xf>
    <xf numFmtId="0" fontId="12" fillId="0" borderId="0" xfId="0" applyFont="1" applyFill="1" applyAlignment="1">
      <alignment horizontal="left"/>
    </xf>
    <xf numFmtId="0" fontId="38" fillId="0" borderId="7" xfId="0" applyFont="1" applyFill="1" applyBorder="1" applyAlignment="1">
      <alignment horizontal="right"/>
    </xf>
    <xf numFmtId="0" fontId="18" fillId="0" borderId="7" xfId="0" applyFont="1" applyBorder="1" applyAlignment="1">
      <alignment horizontal="right" vertical="center"/>
    </xf>
    <xf numFmtId="0" fontId="12" fillId="0" borderId="12" xfId="0" applyFont="1" applyFill="1" applyBorder="1" applyAlignment="1">
      <alignment horizontal="center" vertical="center" wrapText="1"/>
    </xf>
    <xf numFmtId="0" fontId="13" fillId="0" borderId="2" xfId="0" applyFont="1" applyBorder="1" applyAlignment="1">
      <alignment horizontal="center" vertical="center" wrapText="1"/>
    </xf>
    <xf numFmtId="0" fontId="19" fillId="0" borderId="0" xfId="0" applyFont="1" applyAlignment="1">
      <alignment horizontal="center" vertical="center" wrapText="1"/>
    </xf>
    <xf numFmtId="0" fontId="7" fillId="0" borderId="0" xfId="0" applyFont="1" applyAlignment="1">
      <alignment horizontal="center" vertical="center" wrapText="1"/>
    </xf>
    <xf numFmtId="0" fontId="3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0" fillId="0" borderId="0" xfId="0" applyFont="1" applyFill="1" applyAlignment="1">
      <alignment horizontal="left" vertical="center" wrapText="1"/>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26" fillId="0" borderId="1" xfId="0" applyFont="1" applyFill="1" applyBorder="1" applyAlignment="1">
      <alignment horizontal="center" vertical="center"/>
    </xf>
    <xf numFmtId="0" fontId="21" fillId="0" borderId="0" xfId="0" applyFont="1" applyFill="1" applyAlignment="1">
      <alignment horizontal="center" vertical="center" wrapText="1"/>
    </xf>
    <xf numFmtId="0" fontId="12" fillId="0" borderId="1" xfId="0" applyFont="1" applyFill="1" applyBorder="1" applyAlignment="1">
      <alignment horizontal="center" vertical="center"/>
    </xf>
    <xf numFmtId="0" fontId="25" fillId="0" borderId="1" xfId="0" applyFont="1" applyFill="1" applyBorder="1" applyAlignment="1">
      <alignment horizontal="center" vertical="center" wrapText="1"/>
    </xf>
  </cellXfs>
  <cellStyles count="18">
    <cellStyle name="AutoFormat-Optionen" xfId="3"/>
    <cellStyle name="AutoFormat-Optionen 2 2" xfId="7"/>
    <cellStyle name="AutoFormat-Optionen 4" xfId="4"/>
    <cellStyle name="Comma" xfId="1" builtinId="3"/>
    <cellStyle name="Comma 10 2" xfId="11"/>
    <cellStyle name="Comma 10 3" xfId="6"/>
    <cellStyle name="Comma 14" xfId="9"/>
    <cellStyle name="Comma 2" xfId="15"/>
    <cellStyle name="Comma 2 2 2" xfId="2"/>
    <cellStyle name="Comma 23 2" xfId="10"/>
    <cellStyle name="Comma 3" xfId="16"/>
    <cellStyle name="Normal" xfId="0" builtinId="0"/>
    <cellStyle name="Normal 2 2" xfId="12"/>
    <cellStyle name="Normal 3 4" xfId="5"/>
    <cellStyle name="Normal 6 6" xfId="8"/>
    <cellStyle name="Percent" xfId="13" builtinId="5"/>
    <cellStyle name="Percent 9 3" xfId="14"/>
    <cellStyle name="Percent 9 3 2" xfId="17"/>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20so%20Quyet%20Toan\QToan%202020%20toan%20tinh\Ho%20so%20UB%20trinh%20phan%20bo%20ket%20du%20QT%202020\Nghi%20quyet%20so%2060.%20Bieu%20quyet%20toan%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Tong hop phan cong"/>
      <sheetName val="Bieu 48"/>
      <sheetName val="Bieu 50"/>
      <sheetName val="Bieu 51"/>
      <sheetName val="bieu 52"/>
      <sheetName val="bieu 53"/>
      <sheetName val="Bieu 54_"/>
      <sheetName val="Bieu 54"/>
      <sheetName val="Bieu 58_"/>
      <sheetName val="Bieu 59_"/>
      <sheetName val="Bieu 61_"/>
      <sheetName val="Biêu 63_"/>
      <sheetName val="Biêu 64-"/>
      <sheetName val="Bieu 61_Hien vo"/>
    </sheetNames>
    <sheetDataSet>
      <sheetData sheetId="0"/>
      <sheetData sheetId="1"/>
      <sheetData sheetId="2"/>
      <sheetData sheetId="3"/>
      <sheetData sheetId="4">
        <row r="11">
          <cell r="E11">
            <v>1220519.7125190001</v>
          </cell>
        </row>
        <row r="14">
          <cell r="E14">
            <v>16028.706697</v>
          </cell>
        </row>
        <row r="20">
          <cell r="E20">
            <v>4579953.3867929997</v>
          </cell>
        </row>
        <row r="23">
          <cell r="E23">
            <v>11706.385414</v>
          </cell>
        </row>
      </sheetData>
      <sheetData sheetId="5">
        <row r="27">
          <cell r="C27">
            <v>2844</v>
          </cell>
        </row>
      </sheetData>
      <sheetData sheetId="6">
        <row r="15">
          <cell r="G15">
            <v>16026.487697</v>
          </cell>
        </row>
        <row r="21">
          <cell r="G21">
            <v>1566342.429003</v>
          </cell>
        </row>
        <row r="24">
          <cell r="G24">
            <v>10369.584934</v>
          </cell>
        </row>
      </sheetData>
      <sheetData sheetId="7"/>
      <sheetData sheetId="8"/>
      <sheetData sheetId="9">
        <row r="10">
          <cell r="E10">
            <v>55071.662280999997</v>
          </cell>
          <cell r="R10">
            <v>112899.289041</v>
          </cell>
        </row>
      </sheetData>
      <sheetData sheetId="10"/>
      <sheetData sheetId="11">
        <row r="13">
          <cell r="C13">
            <v>156888</v>
          </cell>
          <cell r="F13">
            <v>146898</v>
          </cell>
          <cell r="M13">
            <v>9990</v>
          </cell>
          <cell r="V13">
            <v>11826.817874</v>
          </cell>
          <cell r="W13">
            <v>160164.07577</v>
          </cell>
        </row>
        <row r="35">
          <cell r="C35">
            <v>504120</v>
          </cell>
          <cell r="F35">
            <v>141620</v>
          </cell>
          <cell r="M35">
            <v>362500</v>
          </cell>
          <cell r="W35">
            <v>156813.84664899998</v>
          </cell>
          <cell r="AD35">
            <v>367409.64312000002</v>
          </cell>
        </row>
      </sheetData>
      <sheetData sheetId="12"/>
      <sheetData sheetId="13"/>
      <sheetData sheetId="14">
        <row r="13">
          <cell r="AD13">
            <v>5657.8178740000003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3"/>
  <sheetViews>
    <sheetView tabSelected="1" zoomScale="90" zoomScaleNormal="90" workbookViewId="0">
      <pane xSplit="2" ySplit="7" topLeftCell="C20" activePane="bottomRight" state="frozen"/>
      <selection pane="topRight" activeCell="C1" sqref="C1"/>
      <selection pane="bottomLeft" activeCell="A8" sqref="A8"/>
      <selection pane="bottomRight" activeCell="D11" sqref="D11"/>
    </sheetView>
  </sheetViews>
  <sheetFormatPr defaultColWidth="9.109375" defaultRowHeight="15.6" outlineLevelRow="1" x14ac:dyDescent="0.3"/>
  <cols>
    <col min="1" max="1" width="6.44140625" style="18" customWidth="1"/>
    <col min="2" max="2" width="52.88671875" style="18" customWidth="1"/>
    <col min="3" max="3" width="13" style="18" customWidth="1"/>
    <col min="4" max="4" width="13.44140625" style="18" customWidth="1"/>
    <col min="5" max="5" width="9.109375" style="18" customWidth="1"/>
    <col min="6" max="6" width="9.109375" style="18"/>
    <col min="7" max="7" width="15.109375" style="18" customWidth="1"/>
    <col min="8" max="8" width="15.44140625" style="18" customWidth="1"/>
    <col min="9" max="16384" width="9.109375" style="18"/>
  </cols>
  <sheetData>
    <row r="1" spans="1:12" x14ac:dyDescent="0.3">
      <c r="A1" s="25"/>
      <c r="D1" s="25" t="s">
        <v>0</v>
      </c>
    </row>
    <row r="2" spans="1:12" x14ac:dyDescent="0.3">
      <c r="A2" s="2"/>
      <c r="B2" s="39"/>
    </row>
    <row r="3" spans="1:12" ht="24" customHeight="1" x14ac:dyDescent="0.3">
      <c r="A3" s="284" t="s">
        <v>479</v>
      </c>
      <c r="B3" s="284"/>
      <c r="C3" s="284"/>
      <c r="D3" s="284"/>
      <c r="E3" s="284"/>
    </row>
    <row r="4" spans="1:12" ht="20.25" customHeight="1" x14ac:dyDescent="0.3">
      <c r="A4" s="285" t="s">
        <v>538</v>
      </c>
      <c r="B4" s="285"/>
      <c r="C4" s="285"/>
      <c r="D4" s="285"/>
      <c r="E4" s="285"/>
    </row>
    <row r="5" spans="1:12" x14ac:dyDescent="0.3">
      <c r="B5" s="41"/>
      <c r="C5" s="15"/>
      <c r="D5" s="20" t="s">
        <v>1</v>
      </c>
    </row>
    <row r="6" spans="1:12" ht="50.25" customHeight="1" x14ac:dyDescent="0.3">
      <c r="A6" s="101" t="s">
        <v>2</v>
      </c>
      <c r="B6" s="101" t="s">
        <v>3</v>
      </c>
      <c r="C6" s="101" t="s">
        <v>4</v>
      </c>
      <c r="D6" s="101" t="s">
        <v>5</v>
      </c>
      <c r="E6" s="101" t="s">
        <v>6</v>
      </c>
      <c r="F6" s="164"/>
      <c r="G6" s="15"/>
    </row>
    <row r="7" spans="1:12" x14ac:dyDescent="0.3">
      <c r="A7" s="102" t="s">
        <v>7</v>
      </c>
      <c r="B7" s="102" t="s">
        <v>8</v>
      </c>
      <c r="C7" s="102">
        <v>1</v>
      </c>
      <c r="D7" s="102">
        <v>2</v>
      </c>
      <c r="E7" s="102" t="s">
        <v>9</v>
      </c>
    </row>
    <row r="8" spans="1:12" s="107" customFormat="1" ht="21.6" customHeight="1" x14ac:dyDescent="0.3">
      <c r="A8" s="103" t="s">
        <v>7</v>
      </c>
      <c r="B8" s="104" t="s">
        <v>10</v>
      </c>
      <c r="C8" s="105">
        <f t="shared" ref="C8" si="0">C9+C12+C15+C16+C17+C18+C19+C20</f>
        <v>8261747</v>
      </c>
      <c r="D8" s="105">
        <f>D9+D12+D15+D16+D17+D18+D19+D20</f>
        <v>10880625.716910999</v>
      </c>
      <c r="E8" s="106">
        <f t="shared" ref="E8:E17" si="1">IF((C8&gt;0),D8/C8*100,0)</f>
        <v>131.69884912853175</v>
      </c>
      <c r="G8" s="108"/>
    </row>
    <row r="9" spans="1:12" x14ac:dyDescent="0.3">
      <c r="A9" s="109">
        <v>1</v>
      </c>
      <c r="B9" s="110" t="s">
        <v>11</v>
      </c>
      <c r="C9" s="12">
        <f>C10+C11</f>
        <v>2993150</v>
      </c>
      <c r="D9" s="12">
        <f>D10+D11</f>
        <v>2502667.095336</v>
      </c>
      <c r="E9" s="13">
        <f t="shared" si="1"/>
        <v>83.613153211031857</v>
      </c>
      <c r="G9" s="46"/>
      <c r="H9" s="47"/>
      <c r="I9" s="48"/>
      <c r="J9" s="48"/>
      <c r="K9" s="48"/>
      <c r="L9" s="46"/>
    </row>
    <row r="10" spans="1:12" x14ac:dyDescent="0.3">
      <c r="A10" s="109" t="s">
        <v>12</v>
      </c>
      <c r="B10" s="110" t="s">
        <v>13</v>
      </c>
      <c r="C10" s="264">
        <v>1959350</v>
      </c>
      <c r="D10" s="264">
        <f>1394010.536395-25</f>
        <v>1393985.5363950001</v>
      </c>
      <c r="E10" s="13">
        <f t="shared" si="1"/>
        <v>71.145305146859926</v>
      </c>
      <c r="G10" s="46"/>
      <c r="H10" s="49"/>
      <c r="I10" s="46"/>
      <c r="J10" s="46"/>
      <c r="K10" s="46"/>
      <c r="L10" s="46"/>
    </row>
    <row r="11" spans="1:12" x14ac:dyDescent="0.3">
      <c r="A11" s="109" t="s">
        <v>12</v>
      </c>
      <c r="B11" s="110" t="s">
        <v>14</v>
      </c>
      <c r="C11" s="264">
        <v>1033800</v>
      </c>
      <c r="D11" s="264">
        <v>1108681.5589409999</v>
      </c>
      <c r="E11" s="13">
        <f t="shared" si="1"/>
        <v>107.24333129628553</v>
      </c>
      <c r="G11" s="46"/>
      <c r="H11" s="50"/>
      <c r="I11" s="46"/>
      <c r="J11" s="46"/>
      <c r="K11" s="46"/>
      <c r="L11" s="46"/>
    </row>
    <row r="12" spans="1:12" x14ac:dyDescent="0.3">
      <c r="A12" s="109">
        <v>2</v>
      </c>
      <c r="B12" s="110" t="s">
        <v>15</v>
      </c>
      <c r="C12" s="12">
        <f>C13+C14</f>
        <v>5268597</v>
      </c>
      <c r="D12" s="12">
        <f>D13+D14</f>
        <v>5644588.1438759994</v>
      </c>
      <c r="E12" s="13">
        <f t="shared" si="1"/>
        <v>107.13645670519114</v>
      </c>
      <c r="G12" s="46"/>
      <c r="H12" s="49"/>
      <c r="I12" s="46"/>
      <c r="J12" s="46"/>
      <c r="K12" s="46"/>
      <c r="L12" s="46"/>
    </row>
    <row r="13" spans="1:12" x14ac:dyDescent="0.3">
      <c r="A13" s="109" t="s">
        <v>12</v>
      </c>
      <c r="B13" s="110" t="s">
        <v>16</v>
      </c>
      <c r="C13" s="12">
        <v>3285823</v>
      </c>
      <c r="D13" s="111">
        <v>3285823</v>
      </c>
      <c r="E13" s="13">
        <f t="shared" si="1"/>
        <v>100</v>
      </c>
      <c r="G13" s="46"/>
      <c r="H13" s="49"/>
      <c r="I13" s="46"/>
      <c r="J13" s="46"/>
      <c r="K13" s="46"/>
      <c r="L13" s="46"/>
    </row>
    <row r="14" spans="1:12" x14ac:dyDescent="0.3">
      <c r="A14" s="109" t="s">
        <v>12</v>
      </c>
      <c r="B14" s="110" t="s">
        <v>17</v>
      </c>
      <c r="C14" s="12">
        <v>1982774</v>
      </c>
      <c r="D14" s="111">
        <v>2358765.1438759998</v>
      </c>
      <c r="E14" s="13">
        <f t="shared" si="1"/>
        <v>118.96288451815487</v>
      </c>
      <c r="G14" s="46"/>
      <c r="H14" s="49"/>
      <c r="I14" s="46"/>
      <c r="J14" s="46"/>
      <c r="K14" s="46"/>
      <c r="L14" s="46"/>
    </row>
    <row r="15" spans="1:12" x14ac:dyDescent="0.3">
      <c r="A15" s="109">
        <v>3</v>
      </c>
      <c r="B15" s="74" t="s">
        <v>18</v>
      </c>
      <c r="C15" s="264"/>
      <c r="D15" s="264"/>
      <c r="E15" s="13">
        <f t="shared" si="1"/>
        <v>0</v>
      </c>
      <c r="G15" s="46"/>
      <c r="H15" s="112"/>
      <c r="I15" s="46"/>
      <c r="J15" s="46"/>
      <c r="K15" s="46"/>
      <c r="L15" s="46"/>
    </row>
    <row r="16" spans="1:12" x14ac:dyDescent="0.3">
      <c r="A16" s="109">
        <v>4</v>
      </c>
      <c r="B16" s="74" t="s">
        <v>257</v>
      </c>
      <c r="C16" s="264"/>
      <c r="D16" s="264">
        <v>106080.350489</v>
      </c>
      <c r="E16" s="13">
        <f t="shared" si="1"/>
        <v>0</v>
      </c>
      <c r="G16" s="46"/>
      <c r="H16" s="46"/>
      <c r="I16" s="46"/>
      <c r="J16" s="46"/>
      <c r="K16" s="46"/>
      <c r="L16" s="46"/>
    </row>
    <row r="17" spans="1:12" x14ac:dyDescent="0.3">
      <c r="A17" s="109">
        <v>5</v>
      </c>
      <c r="B17" s="74" t="s">
        <v>19</v>
      </c>
      <c r="C17" s="264"/>
      <c r="D17" s="264">
        <v>2584074.338399</v>
      </c>
      <c r="E17" s="13">
        <f t="shared" si="1"/>
        <v>0</v>
      </c>
      <c r="G17" s="46"/>
      <c r="H17" s="46"/>
      <c r="I17" s="46"/>
      <c r="J17" s="46"/>
      <c r="K17" s="46"/>
      <c r="L17" s="46"/>
    </row>
    <row r="18" spans="1:12" x14ac:dyDescent="0.3">
      <c r="A18" s="109">
        <v>6</v>
      </c>
      <c r="B18" s="74" t="s">
        <v>143</v>
      </c>
      <c r="C18" s="264"/>
      <c r="D18" s="264">
        <v>24918.865811</v>
      </c>
      <c r="E18" s="13"/>
      <c r="G18" s="46"/>
      <c r="H18" s="50"/>
      <c r="I18" s="46"/>
      <c r="J18" s="46"/>
      <c r="K18" s="46"/>
      <c r="L18" s="46"/>
    </row>
    <row r="19" spans="1:12" x14ac:dyDescent="0.3">
      <c r="A19" s="109">
        <v>7</v>
      </c>
      <c r="B19" s="74" t="s">
        <v>169</v>
      </c>
      <c r="C19" s="264"/>
      <c r="D19" s="264">
        <v>18271.922999999999</v>
      </c>
      <c r="E19" s="13"/>
      <c r="G19" s="46"/>
      <c r="H19" s="46"/>
      <c r="I19" s="46"/>
      <c r="J19" s="46"/>
      <c r="K19" s="46"/>
      <c r="L19" s="46"/>
    </row>
    <row r="20" spans="1:12" x14ac:dyDescent="0.3">
      <c r="A20" s="109">
        <v>8</v>
      </c>
      <c r="B20" s="74" t="s">
        <v>258</v>
      </c>
      <c r="C20" s="264"/>
      <c r="D20" s="264">
        <v>25</v>
      </c>
      <c r="E20" s="13"/>
      <c r="G20" s="46"/>
      <c r="H20" s="46"/>
      <c r="I20" s="46"/>
      <c r="J20" s="46"/>
      <c r="K20" s="46"/>
      <c r="L20" s="46"/>
    </row>
    <row r="21" spans="1:12" s="107" customFormat="1" x14ac:dyDescent="0.3">
      <c r="A21" s="113" t="s">
        <v>8</v>
      </c>
      <c r="B21" s="114" t="s">
        <v>20</v>
      </c>
      <c r="C21" s="115">
        <f>C22+C29+C32</f>
        <v>8261747</v>
      </c>
      <c r="D21" s="116">
        <f>D22+D29+D32+D33</f>
        <v>10807016.130872998</v>
      </c>
      <c r="E21" s="10">
        <f t="shared" ref="E21:E41" si="2">IF((C21&gt;0),D21/C21*100,0)</f>
        <v>130.8078803535499</v>
      </c>
      <c r="G21" s="51"/>
      <c r="H21" s="51"/>
      <c r="I21" s="46"/>
      <c r="J21" s="46"/>
      <c r="K21" s="46"/>
      <c r="L21" s="48"/>
    </row>
    <row r="22" spans="1:12" s="107" customFormat="1" x14ac:dyDescent="0.3">
      <c r="A22" s="113" t="s">
        <v>21</v>
      </c>
      <c r="B22" s="114" t="s">
        <v>22</v>
      </c>
      <c r="C22" s="115">
        <f>SUM(C23:C28)</f>
        <v>6278973</v>
      </c>
      <c r="D22" s="115">
        <f>SUM(D23:D28)</f>
        <v>5882726.3479219992</v>
      </c>
      <c r="E22" s="10">
        <f t="shared" si="2"/>
        <v>93.689307915832714</v>
      </c>
      <c r="G22" s="48"/>
      <c r="H22" s="51"/>
      <c r="I22" s="48"/>
      <c r="J22" s="48"/>
      <c r="K22" s="48"/>
      <c r="L22" s="48"/>
    </row>
    <row r="23" spans="1:12" x14ac:dyDescent="0.3">
      <c r="A23" s="109">
        <v>1</v>
      </c>
      <c r="B23" s="74" t="s">
        <v>23</v>
      </c>
      <c r="C23" s="264">
        <v>825372</v>
      </c>
      <c r="D23" s="264">
        <v>1228339.7125190003</v>
      </c>
      <c r="E23" s="13">
        <f t="shared" si="2"/>
        <v>148.82255667977594</v>
      </c>
      <c r="G23" s="46"/>
      <c r="H23" s="51"/>
      <c r="I23" s="48"/>
      <c r="J23" s="48"/>
      <c r="K23" s="48"/>
      <c r="L23" s="46"/>
    </row>
    <row r="24" spans="1:12" x14ac:dyDescent="0.3">
      <c r="A24" s="109">
        <v>2</v>
      </c>
      <c r="B24" s="74" t="s">
        <v>24</v>
      </c>
      <c r="C24" s="264">
        <v>4445685</v>
      </c>
      <c r="D24" s="264">
        <v>4579953.3867929997</v>
      </c>
      <c r="E24" s="13">
        <f t="shared" si="2"/>
        <v>103.02019569072031</v>
      </c>
      <c r="G24" s="50"/>
      <c r="H24" s="50"/>
      <c r="I24" s="46"/>
      <c r="J24" s="46"/>
      <c r="K24" s="46"/>
      <c r="L24" s="46"/>
    </row>
    <row r="25" spans="1:12" ht="31.2" x14ac:dyDescent="0.3">
      <c r="A25" s="109">
        <v>3</v>
      </c>
      <c r="B25" s="74" t="s">
        <v>259</v>
      </c>
      <c r="C25" s="264">
        <v>1300</v>
      </c>
      <c r="D25" s="264">
        <v>18520.929</v>
      </c>
      <c r="E25" s="13">
        <f t="shared" si="2"/>
        <v>1424.6868461538461</v>
      </c>
    </row>
    <row r="26" spans="1:12" x14ac:dyDescent="0.3">
      <c r="A26" s="109">
        <v>4</v>
      </c>
      <c r="B26" s="74" t="s">
        <v>25</v>
      </c>
      <c r="C26" s="264">
        <v>1000</v>
      </c>
      <c r="D26" s="264">
        <v>1000</v>
      </c>
      <c r="E26" s="13">
        <f t="shared" si="2"/>
        <v>100</v>
      </c>
    </row>
    <row r="27" spans="1:12" x14ac:dyDescent="0.3">
      <c r="A27" s="109">
        <v>5</v>
      </c>
      <c r="B27" s="74" t="s">
        <v>26</v>
      </c>
      <c r="C27" s="264">
        <v>125616</v>
      </c>
      <c r="D27" s="264"/>
      <c r="E27" s="13">
        <f t="shared" si="2"/>
        <v>0</v>
      </c>
    </row>
    <row r="28" spans="1:12" ht="31.2" x14ac:dyDescent="0.3">
      <c r="A28" s="109">
        <v>6</v>
      </c>
      <c r="B28" s="74" t="s">
        <v>489</v>
      </c>
      <c r="C28" s="264">
        <v>880000</v>
      </c>
      <c r="D28" s="264">
        <v>54912.319609999999</v>
      </c>
      <c r="E28" s="13">
        <f t="shared" si="2"/>
        <v>6.2400363193181816</v>
      </c>
    </row>
    <row r="29" spans="1:12" s="107" customFormat="1" x14ac:dyDescent="0.3">
      <c r="A29" s="113" t="s">
        <v>27</v>
      </c>
      <c r="B29" s="114" t="s">
        <v>28</v>
      </c>
      <c r="C29" s="115">
        <f>C30+C31</f>
        <v>1982774</v>
      </c>
      <c r="D29" s="116">
        <f>D30+D31</f>
        <v>2122371.7836420001</v>
      </c>
      <c r="E29" s="10">
        <f t="shared" si="2"/>
        <v>107.04052926062172</v>
      </c>
    </row>
    <row r="30" spans="1:12" ht="15.75" customHeight="1" x14ac:dyDescent="0.3">
      <c r="A30" s="109">
        <v>1</v>
      </c>
      <c r="B30" s="110" t="s">
        <v>29</v>
      </c>
      <c r="C30" s="12">
        <v>661008</v>
      </c>
      <c r="D30" s="111">
        <v>690045.38341300003</v>
      </c>
      <c r="E30" s="13">
        <f t="shared" si="2"/>
        <v>104.39289439961392</v>
      </c>
    </row>
    <row r="31" spans="1:12" x14ac:dyDescent="0.3">
      <c r="A31" s="109">
        <v>2</v>
      </c>
      <c r="B31" s="110" t="s">
        <v>30</v>
      </c>
      <c r="C31" s="12">
        <v>1321766</v>
      </c>
      <c r="D31" s="111">
        <v>1432326.400229</v>
      </c>
      <c r="E31" s="13">
        <f t="shared" si="2"/>
        <v>108.36459707913504</v>
      </c>
    </row>
    <row r="32" spans="1:12" s="107" customFormat="1" x14ac:dyDescent="0.3">
      <c r="A32" s="113" t="s">
        <v>31</v>
      </c>
      <c r="B32" s="114" t="s">
        <v>32</v>
      </c>
      <c r="C32" s="115"/>
      <c r="D32" s="189">
        <v>2591890.6532199997</v>
      </c>
      <c r="E32" s="13">
        <f t="shared" si="2"/>
        <v>0</v>
      </c>
    </row>
    <row r="33" spans="1:5" s="107" customFormat="1" x14ac:dyDescent="0.3">
      <c r="A33" s="113" t="s">
        <v>58</v>
      </c>
      <c r="B33" s="114" t="s">
        <v>152</v>
      </c>
      <c r="C33" s="115"/>
      <c r="D33" s="189">
        <v>210027.346089</v>
      </c>
      <c r="E33" s="13">
        <f t="shared" si="2"/>
        <v>0</v>
      </c>
    </row>
    <row r="34" spans="1:5" s="107" customFormat="1" x14ac:dyDescent="0.3">
      <c r="A34" s="113" t="s">
        <v>33</v>
      </c>
      <c r="B34" s="114" t="s">
        <v>490</v>
      </c>
      <c r="C34" s="115">
        <v>16100</v>
      </c>
      <c r="D34" s="115">
        <v>10712.187403999998</v>
      </c>
      <c r="E34" s="10">
        <f t="shared" si="2"/>
        <v>66.535325490683221</v>
      </c>
    </row>
    <row r="35" spans="1:5" s="107" customFormat="1" x14ac:dyDescent="0.3">
      <c r="A35" s="113" t="s">
        <v>34</v>
      </c>
      <c r="B35" s="114" t="s">
        <v>173</v>
      </c>
      <c r="C35" s="115">
        <f>C36+C37</f>
        <v>18000</v>
      </c>
      <c r="D35" s="115">
        <f>D36+D37</f>
        <v>18000</v>
      </c>
      <c r="E35" s="10">
        <f t="shared" si="2"/>
        <v>100</v>
      </c>
    </row>
    <row r="36" spans="1:5" hidden="1" outlineLevel="1" x14ac:dyDescent="0.3">
      <c r="A36" s="109">
        <v>1</v>
      </c>
      <c r="B36" s="110" t="s">
        <v>174</v>
      </c>
      <c r="C36" s="264">
        <v>18000</v>
      </c>
      <c r="D36" s="264"/>
      <c r="E36" s="13">
        <f t="shared" si="2"/>
        <v>0</v>
      </c>
    </row>
    <row r="37" spans="1:5" ht="31.2" hidden="1" outlineLevel="1" x14ac:dyDescent="0.3">
      <c r="A37" s="109">
        <v>2</v>
      </c>
      <c r="B37" s="110" t="s">
        <v>175</v>
      </c>
      <c r="C37" s="265"/>
      <c r="D37" s="265">
        <v>18000</v>
      </c>
      <c r="E37" s="13">
        <f t="shared" si="2"/>
        <v>0</v>
      </c>
    </row>
    <row r="38" spans="1:5" s="107" customFormat="1" collapsed="1" x14ac:dyDescent="0.3">
      <c r="A38" s="113" t="s">
        <v>180</v>
      </c>
      <c r="B38" s="114" t="s">
        <v>176</v>
      </c>
      <c r="C38" s="115">
        <f>C39+C40</f>
        <v>34100</v>
      </c>
      <c r="D38" s="115">
        <v>18271.922999999999</v>
      </c>
      <c r="E38" s="10">
        <f t="shared" si="2"/>
        <v>53.583351906158349</v>
      </c>
    </row>
    <row r="39" spans="1:5" hidden="1" outlineLevel="1" x14ac:dyDescent="0.3">
      <c r="A39" s="109">
        <v>1</v>
      </c>
      <c r="B39" s="110" t="s">
        <v>177</v>
      </c>
      <c r="C39" s="264">
        <v>16100</v>
      </c>
      <c r="D39" s="12"/>
      <c r="E39" s="13">
        <f t="shared" si="2"/>
        <v>0</v>
      </c>
    </row>
    <row r="40" spans="1:5" hidden="1" outlineLevel="1" x14ac:dyDescent="0.3">
      <c r="A40" s="109">
        <v>2</v>
      </c>
      <c r="B40" s="110" t="s">
        <v>178</v>
      </c>
      <c r="C40" s="264">
        <v>18000</v>
      </c>
      <c r="D40" s="12"/>
      <c r="E40" s="13">
        <f t="shared" si="2"/>
        <v>0</v>
      </c>
    </row>
    <row r="41" spans="1:5" s="107" customFormat="1" collapsed="1" x14ac:dyDescent="0.3">
      <c r="A41" s="117" t="s">
        <v>35</v>
      </c>
      <c r="B41" s="118" t="s">
        <v>179</v>
      </c>
      <c r="C41" s="119">
        <v>52867</v>
      </c>
      <c r="D41" s="119">
        <v>49026</v>
      </c>
      <c r="E41" s="120">
        <f t="shared" si="2"/>
        <v>92.73459814250856</v>
      </c>
    </row>
    <row r="42" spans="1:5" x14ac:dyDescent="0.3">
      <c r="A42" s="121"/>
      <c r="C42" s="19"/>
      <c r="D42" s="19"/>
    </row>
    <row r="43" spans="1:5" x14ac:dyDescent="0.3">
      <c r="C43" s="19"/>
      <c r="D43" s="19"/>
    </row>
  </sheetData>
  <mergeCells count="2">
    <mergeCell ref="A3:E3"/>
    <mergeCell ref="A4:E4"/>
  </mergeCells>
  <printOptions horizontalCentered="1"/>
  <pageMargins left="0.45" right="0"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5"/>
  <sheetViews>
    <sheetView zoomScale="85" zoomScaleNormal="85" workbookViewId="0">
      <pane xSplit="2" ySplit="8" topLeftCell="C9" activePane="bottomRight" state="frozen"/>
      <selection pane="topRight" activeCell="C1" sqref="C1"/>
      <selection pane="bottomLeft" activeCell="A9" sqref="A9"/>
      <selection pane="bottomRight" activeCell="F9" sqref="F9"/>
    </sheetView>
  </sheetViews>
  <sheetFormatPr defaultColWidth="9.109375" defaultRowHeight="15.6" outlineLevelRow="1" x14ac:dyDescent="0.3"/>
  <cols>
    <col min="1" max="1" width="5.88671875" style="18" customWidth="1"/>
    <col min="2" max="2" width="49" style="18" customWidth="1"/>
    <col min="3" max="3" width="12" style="18" customWidth="1"/>
    <col min="4" max="4" width="11.44140625" style="18" customWidth="1"/>
    <col min="5" max="5" width="11.88671875" style="16" customWidth="1"/>
    <col min="6" max="6" width="12.44140625" style="16" customWidth="1"/>
    <col min="7" max="7" width="9.88671875" style="18" customWidth="1"/>
    <col min="8" max="9" width="9.109375" style="18"/>
    <col min="10" max="10" width="18.44140625" style="19" customWidth="1"/>
    <col min="11" max="16384" width="9.109375" style="18"/>
  </cols>
  <sheetData>
    <row r="1" spans="1:10" x14ac:dyDescent="0.3">
      <c r="A1" s="25"/>
      <c r="C1" s="15"/>
      <c r="D1" s="15"/>
      <c r="F1" s="17" t="s">
        <v>36</v>
      </c>
      <c r="J1" s="18"/>
    </row>
    <row r="2" spans="1:10" ht="9" customHeight="1" x14ac:dyDescent="0.3">
      <c r="A2" s="26"/>
      <c r="J2" s="18"/>
    </row>
    <row r="3" spans="1:10" ht="16.8" x14ac:dyDescent="0.3">
      <c r="A3" s="284" t="s">
        <v>251</v>
      </c>
      <c r="B3" s="284"/>
      <c r="C3" s="284"/>
      <c r="D3" s="284"/>
      <c r="E3" s="284"/>
      <c r="F3" s="284"/>
      <c r="G3" s="284"/>
      <c r="H3" s="284"/>
      <c r="J3" s="18"/>
    </row>
    <row r="4" spans="1:10" x14ac:dyDescent="0.3">
      <c r="A4" s="285" t="s">
        <v>538</v>
      </c>
      <c r="B4" s="285"/>
      <c r="C4" s="285"/>
      <c r="D4" s="285"/>
      <c r="E4" s="285"/>
      <c r="F4" s="285"/>
      <c r="G4" s="285"/>
      <c r="H4" s="285"/>
      <c r="J4" s="18"/>
    </row>
    <row r="5" spans="1:10" x14ac:dyDescent="0.3">
      <c r="B5" s="7"/>
      <c r="C5" s="19"/>
      <c r="D5" s="19"/>
      <c r="E5" s="19"/>
      <c r="F5" s="19"/>
      <c r="G5" s="20" t="s">
        <v>1</v>
      </c>
      <c r="J5" s="18"/>
    </row>
    <row r="6" spans="1:10" s="122" customFormat="1" x14ac:dyDescent="0.3">
      <c r="A6" s="286" t="s">
        <v>2</v>
      </c>
      <c r="B6" s="286" t="s">
        <v>126</v>
      </c>
      <c r="C6" s="286" t="s">
        <v>110</v>
      </c>
      <c r="D6" s="286"/>
      <c r="E6" s="286" t="s">
        <v>111</v>
      </c>
      <c r="F6" s="286"/>
      <c r="G6" s="286" t="s">
        <v>112</v>
      </c>
      <c r="H6" s="286"/>
    </row>
    <row r="7" spans="1:10" s="122" customFormat="1" ht="36.6" customHeight="1" x14ac:dyDescent="0.3">
      <c r="A7" s="286"/>
      <c r="B7" s="286"/>
      <c r="C7" s="123" t="s">
        <v>182</v>
      </c>
      <c r="D7" s="123" t="s">
        <v>162</v>
      </c>
      <c r="E7" s="123" t="s">
        <v>182</v>
      </c>
      <c r="F7" s="123" t="s">
        <v>162</v>
      </c>
      <c r="G7" s="123" t="s">
        <v>182</v>
      </c>
      <c r="H7" s="123" t="s">
        <v>162</v>
      </c>
      <c r="I7" s="164"/>
    </row>
    <row r="8" spans="1:10" s="122" customFormat="1" x14ac:dyDescent="0.3">
      <c r="A8" s="266" t="s">
        <v>7</v>
      </c>
      <c r="B8" s="266" t="s">
        <v>8</v>
      </c>
      <c r="C8" s="266">
        <v>1</v>
      </c>
      <c r="D8" s="266">
        <v>2</v>
      </c>
      <c r="E8" s="266">
        <v>3</v>
      </c>
      <c r="F8" s="266">
        <v>4</v>
      </c>
      <c r="G8" s="266" t="s">
        <v>38</v>
      </c>
      <c r="H8" s="266" t="s">
        <v>39</v>
      </c>
    </row>
    <row r="9" spans="1:10" s="122" customFormat="1" ht="25.95" customHeight="1" x14ac:dyDescent="0.3">
      <c r="A9" s="124"/>
      <c r="B9" s="125" t="s">
        <v>183</v>
      </c>
      <c r="C9" s="126">
        <f>C10+C72+C74+C75</f>
        <v>3505000</v>
      </c>
      <c r="D9" s="126">
        <f>D10+D72+D74+D75</f>
        <v>2993150</v>
      </c>
      <c r="E9" s="126">
        <f>E10+E72+E74+E75</f>
        <v>5740073.027338</v>
      </c>
      <c r="F9" s="126">
        <f>F10+F72+F74+F75</f>
        <v>5211119.6173379999</v>
      </c>
      <c r="G9" s="127">
        <f>IFERROR(E9/C9,"")</f>
        <v>1.6376813202105565</v>
      </c>
      <c r="H9" s="127">
        <f>IFERROR(F9/D9,"")</f>
        <v>1.7410151904642266</v>
      </c>
      <c r="I9" s="128"/>
    </row>
    <row r="10" spans="1:10" s="130" customFormat="1" x14ac:dyDescent="0.3">
      <c r="A10" s="124" t="s">
        <v>7</v>
      </c>
      <c r="B10" s="125" t="s">
        <v>40</v>
      </c>
      <c r="C10" s="126">
        <f>C11+C64+C63+C71</f>
        <v>3505000</v>
      </c>
      <c r="D10" s="126">
        <f>D11+D64+D63+D71</f>
        <v>2993150</v>
      </c>
      <c r="E10" s="126">
        <f>E11+E64+E63+E71</f>
        <v>3031646.4154499997</v>
      </c>
      <c r="F10" s="126">
        <f>F11+F64+F63+F71</f>
        <v>2502693.0054499996</v>
      </c>
      <c r="G10" s="127">
        <f t="shared" ref="G10:H57" si="0">IFERROR(E10/C10,"")</f>
        <v>0.86494904863052779</v>
      </c>
      <c r="H10" s="127">
        <f t="shared" si="0"/>
        <v>0.83614018858059225</v>
      </c>
      <c r="I10" s="129"/>
    </row>
    <row r="11" spans="1:10" s="130" customFormat="1" x14ac:dyDescent="0.3">
      <c r="A11" s="124" t="s">
        <v>41</v>
      </c>
      <c r="B11" s="125" t="s">
        <v>42</v>
      </c>
      <c r="C11" s="126">
        <f>C12+C18+C24+C27+C34+C35+C38+C39+C44+C45+C46+C47+C48+C49+C51+C52+C53+C54+C57</f>
        <v>3235000</v>
      </c>
      <c r="D11" s="126">
        <f>D12+D18+D24+D27+D34+D35+D38+D39+D44+D45+D46+D47+D48+D49+D51+D52+D53+D54+D57</f>
        <v>2993150</v>
      </c>
      <c r="E11" s="126">
        <f>E12+E18+E24+E27+E34+E35+E38+E39+E44+E45+E46+E47+E48+E49+E51+E52+E53+E54+E57</f>
        <v>2759970.3054499999</v>
      </c>
      <c r="F11" s="126">
        <f>F12+1.3+F18+F24+F27+F34+F35+F38+F39+F44+F45+F46+F47+F48+F49+F51+F52+F53+F54+F57</f>
        <v>2502667.6054499997</v>
      </c>
      <c r="G11" s="127">
        <f t="shared" si="0"/>
        <v>0.85315929071097374</v>
      </c>
      <c r="H11" s="127">
        <f t="shared" si="0"/>
        <v>0.83613170253746039</v>
      </c>
    </row>
    <row r="12" spans="1:10" s="122" customFormat="1" x14ac:dyDescent="0.3">
      <c r="A12" s="124">
        <v>1</v>
      </c>
      <c r="B12" s="125" t="s">
        <v>499</v>
      </c>
      <c r="C12" s="126">
        <f>C13+C14+C15</f>
        <v>717200</v>
      </c>
      <c r="D12" s="126">
        <f>D13+D14+D15</f>
        <v>717200</v>
      </c>
      <c r="E12" s="126">
        <f>E13+E14+E15</f>
        <v>618739.67592999991</v>
      </c>
      <c r="F12" s="126">
        <f>F13+F14+F15</f>
        <v>618739.67592999991</v>
      </c>
      <c r="G12" s="127">
        <f t="shared" si="0"/>
        <v>0.86271566638315655</v>
      </c>
      <c r="H12" s="127">
        <f t="shared" si="0"/>
        <v>0.86271566638315655</v>
      </c>
    </row>
    <row r="13" spans="1:10" s="122" customFormat="1" x14ac:dyDescent="0.3">
      <c r="A13" s="131" t="s">
        <v>81</v>
      </c>
      <c r="B13" s="132" t="s">
        <v>184</v>
      </c>
      <c r="C13" s="133">
        <v>310200</v>
      </c>
      <c r="D13" s="133">
        <f>C13</f>
        <v>310200</v>
      </c>
      <c r="E13" s="133">
        <v>269678.99388199998</v>
      </c>
      <c r="F13" s="133">
        <f>E13</f>
        <v>269678.99388199998</v>
      </c>
      <c r="G13" s="134">
        <f t="shared" si="0"/>
        <v>0.8693713535847839</v>
      </c>
      <c r="H13" s="134">
        <f t="shared" si="0"/>
        <v>0.8693713535847839</v>
      </c>
    </row>
    <row r="14" spans="1:10" s="122" customFormat="1" x14ac:dyDescent="0.3">
      <c r="A14" s="131" t="s">
        <v>82</v>
      </c>
      <c r="B14" s="132" t="s">
        <v>185</v>
      </c>
      <c r="C14" s="133">
        <v>5000</v>
      </c>
      <c r="D14" s="133">
        <f>C14</f>
        <v>5000</v>
      </c>
      <c r="E14" s="133">
        <v>18225.937935999998</v>
      </c>
      <c r="F14" s="133">
        <f>E14</f>
        <v>18225.937935999998</v>
      </c>
      <c r="G14" s="134">
        <f t="shared" si="0"/>
        <v>3.6451875871999997</v>
      </c>
      <c r="H14" s="134">
        <f t="shared" si="0"/>
        <v>3.6451875871999997</v>
      </c>
    </row>
    <row r="15" spans="1:10" s="122" customFormat="1" x14ac:dyDescent="0.3">
      <c r="A15" s="131" t="s">
        <v>83</v>
      </c>
      <c r="B15" s="132" t="s">
        <v>186</v>
      </c>
      <c r="C15" s="133">
        <v>402000</v>
      </c>
      <c r="D15" s="133">
        <f>C15</f>
        <v>402000</v>
      </c>
      <c r="E15" s="133">
        <v>330834.74411199999</v>
      </c>
      <c r="F15" s="133">
        <f>E15</f>
        <v>330834.74411199999</v>
      </c>
      <c r="G15" s="134">
        <f t="shared" si="0"/>
        <v>0.82297200027860695</v>
      </c>
      <c r="H15" s="134">
        <f t="shared" si="0"/>
        <v>0.82297200027860695</v>
      </c>
    </row>
    <row r="16" spans="1:10" s="122" customFormat="1" hidden="1" outlineLevel="1" x14ac:dyDescent="0.3">
      <c r="A16" s="135" t="s">
        <v>148</v>
      </c>
      <c r="B16" s="132" t="s">
        <v>187</v>
      </c>
      <c r="C16" s="133">
        <v>401000</v>
      </c>
      <c r="D16" s="133">
        <f>C16</f>
        <v>401000</v>
      </c>
      <c r="E16" s="133"/>
      <c r="F16" s="133"/>
      <c r="G16" s="134">
        <f t="shared" si="0"/>
        <v>0</v>
      </c>
      <c r="H16" s="134">
        <f t="shared" si="0"/>
        <v>0</v>
      </c>
    </row>
    <row r="17" spans="1:8" s="122" customFormat="1" hidden="1" outlineLevel="1" x14ac:dyDescent="0.3">
      <c r="A17" s="135" t="s">
        <v>148</v>
      </c>
      <c r="B17" s="132" t="s">
        <v>188</v>
      </c>
      <c r="C17" s="133">
        <v>1000</v>
      </c>
      <c r="D17" s="133">
        <f>C17</f>
        <v>1000</v>
      </c>
      <c r="E17" s="133"/>
      <c r="F17" s="133"/>
      <c r="G17" s="134">
        <f t="shared" si="0"/>
        <v>0</v>
      </c>
      <c r="H17" s="134">
        <f t="shared" si="0"/>
        <v>0</v>
      </c>
    </row>
    <row r="18" spans="1:8" s="122" customFormat="1" collapsed="1" x14ac:dyDescent="0.3">
      <c r="A18" s="124">
        <v>2</v>
      </c>
      <c r="B18" s="125" t="s">
        <v>500</v>
      </c>
      <c r="C18" s="126">
        <f>C19+C20+C21</f>
        <v>26000</v>
      </c>
      <c r="D18" s="126">
        <f>D19+D20+D21</f>
        <v>26000</v>
      </c>
      <c r="E18" s="126">
        <f>E19+E20+E21</f>
        <v>36999.031671000004</v>
      </c>
      <c r="F18" s="126">
        <f>F19+F20+F21</f>
        <v>36999.031671000004</v>
      </c>
      <c r="G18" s="127">
        <f t="shared" si="0"/>
        <v>1.4230396796538463</v>
      </c>
      <c r="H18" s="127">
        <f t="shared" si="0"/>
        <v>1.4230396796538463</v>
      </c>
    </row>
    <row r="19" spans="1:8" s="122" customFormat="1" x14ac:dyDescent="0.3">
      <c r="A19" s="131" t="s">
        <v>144</v>
      </c>
      <c r="B19" s="132" t="s">
        <v>184</v>
      </c>
      <c r="C19" s="133">
        <v>18000</v>
      </c>
      <c r="D19" s="133">
        <f>C19</f>
        <v>18000</v>
      </c>
      <c r="E19" s="133">
        <v>26787.948428</v>
      </c>
      <c r="F19" s="133">
        <f>E19</f>
        <v>26787.948428</v>
      </c>
      <c r="G19" s="134">
        <f t="shared" si="0"/>
        <v>1.4882193571111111</v>
      </c>
      <c r="H19" s="134">
        <f t="shared" si="0"/>
        <v>1.4882193571111111</v>
      </c>
    </row>
    <row r="20" spans="1:8" s="122" customFormat="1" x14ac:dyDescent="0.3">
      <c r="A20" s="131" t="s">
        <v>145</v>
      </c>
      <c r="B20" s="132" t="s">
        <v>185</v>
      </c>
      <c r="C20" s="133">
        <v>7000</v>
      </c>
      <c r="D20" s="133">
        <f>C20</f>
        <v>7000</v>
      </c>
      <c r="E20" s="133">
        <v>8230.4016059999994</v>
      </c>
      <c r="F20" s="133">
        <f>E20</f>
        <v>8230.4016059999994</v>
      </c>
      <c r="G20" s="134">
        <f t="shared" si="0"/>
        <v>1.1757716579999999</v>
      </c>
      <c r="H20" s="134">
        <f t="shared" si="0"/>
        <v>1.1757716579999999</v>
      </c>
    </row>
    <row r="21" spans="1:8" s="122" customFormat="1" x14ac:dyDescent="0.3">
      <c r="A21" s="131" t="s">
        <v>146</v>
      </c>
      <c r="B21" s="132" t="s">
        <v>186</v>
      </c>
      <c r="C21" s="133">
        <v>1000</v>
      </c>
      <c r="D21" s="133">
        <f>C21</f>
        <v>1000</v>
      </c>
      <c r="E21" s="133">
        <v>1980.6816369999999</v>
      </c>
      <c r="F21" s="133">
        <f>E21</f>
        <v>1980.6816369999999</v>
      </c>
      <c r="G21" s="134">
        <f t="shared" si="0"/>
        <v>1.980681637</v>
      </c>
      <c r="H21" s="134">
        <f t="shared" si="0"/>
        <v>1.980681637</v>
      </c>
    </row>
    <row r="22" spans="1:8" s="122" customFormat="1" hidden="1" outlineLevel="1" x14ac:dyDescent="0.3">
      <c r="A22" s="135" t="s">
        <v>148</v>
      </c>
      <c r="B22" s="132" t="s">
        <v>189</v>
      </c>
      <c r="C22" s="133">
        <v>610</v>
      </c>
      <c r="D22" s="133">
        <f>C22</f>
        <v>610</v>
      </c>
      <c r="E22" s="133"/>
      <c r="F22" s="133"/>
      <c r="G22" s="134">
        <f t="shared" si="0"/>
        <v>0</v>
      </c>
      <c r="H22" s="134">
        <f t="shared" si="0"/>
        <v>0</v>
      </c>
    </row>
    <row r="23" spans="1:8" s="122" customFormat="1" hidden="1" outlineLevel="1" x14ac:dyDescent="0.3">
      <c r="A23" s="135" t="s">
        <v>148</v>
      </c>
      <c r="B23" s="132" t="s">
        <v>188</v>
      </c>
      <c r="C23" s="133">
        <v>390</v>
      </c>
      <c r="D23" s="133">
        <f>C23</f>
        <v>390</v>
      </c>
      <c r="E23" s="133"/>
      <c r="F23" s="133"/>
      <c r="G23" s="134">
        <f t="shared" si="0"/>
        <v>0</v>
      </c>
      <c r="H23" s="134">
        <f t="shared" si="0"/>
        <v>0</v>
      </c>
    </row>
    <row r="24" spans="1:8" s="122" customFormat="1" ht="31.2" collapsed="1" x14ac:dyDescent="0.3">
      <c r="A24" s="124">
        <v>3</v>
      </c>
      <c r="B24" s="125" t="s">
        <v>260</v>
      </c>
      <c r="C24" s="126">
        <f>C25+C26</f>
        <v>4000</v>
      </c>
      <c r="D24" s="126">
        <f>D25+D26</f>
        <v>4000</v>
      </c>
      <c r="E24" s="126">
        <f>E25+E26</f>
        <v>7768.5188360000002</v>
      </c>
      <c r="F24" s="126">
        <f>F25+F26</f>
        <v>7768.5188360000002</v>
      </c>
      <c r="G24" s="127">
        <f t="shared" si="0"/>
        <v>1.942129709</v>
      </c>
      <c r="H24" s="127">
        <f t="shared" si="0"/>
        <v>1.942129709</v>
      </c>
    </row>
    <row r="25" spans="1:8" s="122" customFormat="1" x14ac:dyDescent="0.3">
      <c r="A25" s="131" t="s">
        <v>149</v>
      </c>
      <c r="B25" s="132" t="s">
        <v>184</v>
      </c>
      <c r="C25" s="133">
        <v>2000</v>
      </c>
      <c r="D25" s="133">
        <f>C25</f>
        <v>2000</v>
      </c>
      <c r="E25" s="133">
        <v>3621.1057430000001</v>
      </c>
      <c r="F25" s="133">
        <f>E25</f>
        <v>3621.1057430000001</v>
      </c>
      <c r="G25" s="134">
        <f t="shared" si="0"/>
        <v>1.8105528715000001</v>
      </c>
      <c r="H25" s="134">
        <f t="shared" si="0"/>
        <v>1.8105528715000001</v>
      </c>
    </row>
    <row r="26" spans="1:8" s="122" customFormat="1" x14ac:dyDescent="0.3">
      <c r="A26" s="131" t="s">
        <v>150</v>
      </c>
      <c r="B26" s="132" t="s">
        <v>185</v>
      </c>
      <c r="C26" s="133">
        <v>2000</v>
      </c>
      <c r="D26" s="133">
        <f>C26</f>
        <v>2000</v>
      </c>
      <c r="E26" s="133">
        <v>4147.4130930000001</v>
      </c>
      <c r="F26" s="133">
        <f>E26</f>
        <v>4147.4130930000001</v>
      </c>
      <c r="G26" s="134">
        <f t="shared" si="0"/>
        <v>2.0737065465</v>
      </c>
      <c r="H26" s="134">
        <f t="shared" si="0"/>
        <v>2.0737065465</v>
      </c>
    </row>
    <row r="27" spans="1:8" s="122" customFormat="1" x14ac:dyDescent="0.3">
      <c r="A27" s="124">
        <v>4</v>
      </c>
      <c r="B27" s="125" t="s">
        <v>501</v>
      </c>
      <c r="C27" s="126">
        <f>C28+C29+C30+C31</f>
        <v>625000</v>
      </c>
      <c r="D27" s="126">
        <f>D28+D29+D30+D31</f>
        <v>625000</v>
      </c>
      <c r="E27" s="126">
        <f>E28+E29+E30+E31</f>
        <v>723095.18782500003</v>
      </c>
      <c r="F27" s="126">
        <f>F28+F29+F30+F31</f>
        <v>723095.18782500003</v>
      </c>
      <c r="G27" s="127">
        <f t="shared" si="0"/>
        <v>1.15695230052</v>
      </c>
      <c r="H27" s="127">
        <f t="shared" si="0"/>
        <v>1.15695230052</v>
      </c>
    </row>
    <row r="28" spans="1:8" s="122" customFormat="1" x14ac:dyDescent="0.3">
      <c r="A28" s="131" t="s">
        <v>190</v>
      </c>
      <c r="B28" s="132" t="s">
        <v>184</v>
      </c>
      <c r="C28" s="133">
        <v>450000</v>
      </c>
      <c r="D28" s="133">
        <f t="shared" ref="D28:D34" si="1">C28</f>
        <v>450000</v>
      </c>
      <c r="E28" s="133">
        <v>573848.19075800001</v>
      </c>
      <c r="F28" s="133">
        <f t="shared" ref="F28:F34" si="2">E28</f>
        <v>573848.19075800001</v>
      </c>
      <c r="G28" s="134">
        <f t="shared" si="0"/>
        <v>1.2752182016844444</v>
      </c>
      <c r="H28" s="134">
        <f t="shared" si="0"/>
        <v>1.2752182016844444</v>
      </c>
    </row>
    <row r="29" spans="1:8" s="122" customFormat="1" x14ac:dyDescent="0.3">
      <c r="A29" s="131" t="s">
        <v>191</v>
      </c>
      <c r="B29" s="132" t="s">
        <v>185</v>
      </c>
      <c r="C29" s="133">
        <v>29000</v>
      </c>
      <c r="D29" s="133">
        <f t="shared" si="1"/>
        <v>29000</v>
      </c>
      <c r="E29" s="133">
        <v>35187.696494000003</v>
      </c>
      <c r="F29" s="133">
        <f t="shared" si="2"/>
        <v>35187.696494000003</v>
      </c>
      <c r="G29" s="134">
        <f t="shared" si="0"/>
        <v>1.2133688446206898</v>
      </c>
      <c r="H29" s="134">
        <f t="shared" si="0"/>
        <v>1.2133688446206898</v>
      </c>
    </row>
    <row r="30" spans="1:8" s="122" customFormat="1" x14ac:dyDescent="0.3">
      <c r="A30" s="131" t="s">
        <v>192</v>
      </c>
      <c r="B30" s="132" t="s">
        <v>193</v>
      </c>
      <c r="C30" s="133">
        <v>2600</v>
      </c>
      <c r="D30" s="133">
        <f t="shared" si="1"/>
        <v>2600</v>
      </c>
      <c r="E30" s="133">
        <v>3811.2574490000002</v>
      </c>
      <c r="F30" s="133">
        <f t="shared" si="2"/>
        <v>3811.2574490000002</v>
      </c>
      <c r="G30" s="134">
        <f t="shared" si="0"/>
        <v>1.4658682496153848</v>
      </c>
      <c r="H30" s="134">
        <f t="shared" si="0"/>
        <v>1.4658682496153848</v>
      </c>
    </row>
    <row r="31" spans="1:8" s="122" customFormat="1" x14ac:dyDescent="0.3">
      <c r="A31" s="131" t="s">
        <v>194</v>
      </c>
      <c r="B31" s="132" t="s">
        <v>186</v>
      </c>
      <c r="C31" s="133">
        <v>143400</v>
      </c>
      <c r="D31" s="133">
        <f t="shared" si="1"/>
        <v>143400</v>
      </c>
      <c r="E31" s="133">
        <v>110248.043124</v>
      </c>
      <c r="F31" s="133">
        <f t="shared" si="2"/>
        <v>110248.043124</v>
      </c>
      <c r="G31" s="134">
        <f t="shared" si="0"/>
        <v>0.76881480560669457</v>
      </c>
      <c r="H31" s="134">
        <f t="shared" si="0"/>
        <v>0.76881480560669457</v>
      </c>
    </row>
    <row r="32" spans="1:8" s="122" customFormat="1" hidden="1" outlineLevel="1" x14ac:dyDescent="0.3">
      <c r="A32" s="135" t="s">
        <v>148</v>
      </c>
      <c r="B32" s="132" t="s">
        <v>187</v>
      </c>
      <c r="C32" s="133">
        <v>130305</v>
      </c>
      <c r="D32" s="133">
        <f t="shared" si="1"/>
        <v>130305</v>
      </c>
      <c r="E32" s="133"/>
      <c r="F32" s="133"/>
      <c r="G32" s="134"/>
      <c r="H32" s="134"/>
    </row>
    <row r="33" spans="1:8" s="122" customFormat="1" hidden="1" outlineLevel="1" x14ac:dyDescent="0.3">
      <c r="A33" s="135" t="s">
        <v>148</v>
      </c>
      <c r="B33" s="132" t="s">
        <v>188</v>
      </c>
      <c r="C33" s="133">
        <v>13095</v>
      </c>
      <c r="D33" s="133">
        <f t="shared" si="1"/>
        <v>13095</v>
      </c>
      <c r="E33" s="133"/>
      <c r="F33" s="133"/>
      <c r="G33" s="134"/>
      <c r="H33" s="134"/>
    </row>
    <row r="34" spans="1:8" s="122" customFormat="1" collapsed="1" x14ac:dyDescent="0.3">
      <c r="A34" s="124">
        <v>5</v>
      </c>
      <c r="B34" s="125" t="s">
        <v>43</v>
      </c>
      <c r="C34" s="126">
        <v>111000</v>
      </c>
      <c r="D34" s="126">
        <f t="shared" si="1"/>
        <v>111000</v>
      </c>
      <c r="E34" s="126">
        <v>90035.091187999991</v>
      </c>
      <c r="F34" s="126">
        <f t="shared" si="2"/>
        <v>90035.091187999991</v>
      </c>
      <c r="G34" s="127">
        <f t="shared" si="0"/>
        <v>0.81112694763963955</v>
      </c>
      <c r="H34" s="127">
        <f t="shared" si="0"/>
        <v>0.81112694763963955</v>
      </c>
    </row>
    <row r="35" spans="1:8" s="122" customFormat="1" x14ac:dyDescent="0.3">
      <c r="A35" s="124">
        <v>6</v>
      </c>
      <c r="B35" s="125" t="s">
        <v>44</v>
      </c>
      <c r="C35" s="126">
        <f>C36+C37</f>
        <v>260000</v>
      </c>
      <c r="D35" s="126">
        <f>D36+D37</f>
        <v>97000</v>
      </c>
      <c r="E35" s="126">
        <v>265136</v>
      </c>
      <c r="F35" s="126">
        <v>98630</v>
      </c>
      <c r="G35" s="127">
        <f t="shared" si="0"/>
        <v>1.0197538461538462</v>
      </c>
      <c r="H35" s="127">
        <f t="shared" si="0"/>
        <v>1.0168041237113401</v>
      </c>
    </row>
    <row r="36" spans="1:8" s="140" customFormat="1" ht="31.2" x14ac:dyDescent="0.3">
      <c r="A36" s="136" t="s">
        <v>12</v>
      </c>
      <c r="B36" s="137" t="s">
        <v>261</v>
      </c>
      <c r="C36" s="138">
        <v>97000</v>
      </c>
      <c r="D36" s="138">
        <f>C36</f>
        <v>97000</v>
      </c>
      <c r="E36" s="138">
        <v>75701</v>
      </c>
      <c r="F36" s="138">
        <v>75107</v>
      </c>
      <c r="G36" s="139">
        <f t="shared" si="0"/>
        <v>0.78042268041237117</v>
      </c>
      <c r="H36" s="139">
        <f t="shared" si="0"/>
        <v>0.774298969072165</v>
      </c>
    </row>
    <row r="37" spans="1:8" s="140" customFormat="1" ht="31.2" x14ac:dyDescent="0.3">
      <c r="A37" s="136" t="s">
        <v>12</v>
      </c>
      <c r="B37" s="137" t="s">
        <v>262</v>
      </c>
      <c r="C37" s="138">
        <v>163000</v>
      </c>
      <c r="D37" s="138"/>
      <c r="E37" s="138">
        <v>126795</v>
      </c>
      <c r="F37" s="138"/>
      <c r="G37" s="139">
        <f t="shared" si="0"/>
        <v>0.77788343558282214</v>
      </c>
      <c r="H37" s="139" t="str">
        <f t="shared" si="0"/>
        <v/>
      </c>
    </row>
    <row r="38" spans="1:8" s="122" customFormat="1" x14ac:dyDescent="0.3">
      <c r="A38" s="124">
        <v>7</v>
      </c>
      <c r="B38" s="125" t="s">
        <v>45</v>
      </c>
      <c r="C38" s="126">
        <v>86000</v>
      </c>
      <c r="D38" s="126">
        <f>C38</f>
        <v>86000</v>
      </c>
      <c r="E38" s="126">
        <v>87863</v>
      </c>
      <c r="F38" s="126">
        <f>E38</f>
        <v>87863</v>
      </c>
      <c r="G38" s="127">
        <f t="shared" si="0"/>
        <v>1.0216627906976745</v>
      </c>
      <c r="H38" s="127">
        <f t="shared" si="0"/>
        <v>1.0216627906976745</v>
      </c>
    </row>
    <row r="39" spans="1:8" s="122" customFormat="1" x14ac:dyDescent="0.3">
      <c r="A39" s="124">
        <v>8</v>
      </c>
      <c r="B39" s="125" t="s">
        <v>195</v>
      </c>
      <c r="C39" s="126">
        <f>SUM(C40:C43)</f>
        <v>50000</v>
      </c>
      <c r="D39" s="126">
        <f>SUM(D40:D43)</f>
        <v>45000</v>
      </c>
      <c r="E39" s="126">
        <f>SUM(E40:E43)</f>
        <v>52632.800000000003</v>
      </c>
      <c r="F39" s="126">
        <f>SUM(F40:F43)</f>
        <v>42369.8</v>
      </c>
      <c r="G39" s="127">
        <f t="shared" si="0"/>
        <v>1.052656</v>
      </c>
      <c r="H39" s="127">
        <f t="shared" si="0"/>
        <v>0.94155111111111123</v>
      </c>
    </row>
    <row r="40" spans="1:8" s="140" customFormat="1" x14ac:dyDescent="0.3">
      <c r="A40" s="136" t="s">
        <v>12</v>
      </c>
      <c r="B40" s="137" t="s">
        <v>196</v>
      </c>
      <c r="C40" s="138">
        <v>5000</v>
      </c>
      <c r="D40" s="138"/>
      <c r="E40" s="138">
        <v>10562</v>
      </c>
      <c r="F40" s="138">
        <v>299</v>
      </c>
      <c r="G40" s="139">
        <f t="shared" si="0"/>
        <v>2.1124000000000001</v>
      </c>
      <c r="H40" s="139" t="str">
        <f t="shared" si="0"/>
        <v/>
      </c>
    </row>
    <row r="41" spans="1:8" s="140" customFormat="1" x14ac:dyDescent="0.3">
      <c r="A41" s="136" t="s">
        <v>12</v>
      </c>
      <c r="B41" s="137" t="s">
        <v>197</v>
      </c>
      <c r="C41" s="138">
        <v>18905</v>
      </c>
      <c r="D41" s="138">
        <f>C41</f>
        <v>18905</v>
      </c>
      <c r="E41" s="138">
        <v>25754.400000000001</v>
      </c>
      <c r="F41" s="138">
        <f>E41</f>
        <v>25754.400000000001</v>
      </c>
      <c r="G41" s="139">
        <f t="shared" si="0"/>
        <v>1.3623062681830205</v>
      </c>
      <c r="H41" s="139">
        <f t="shared" si="0"/>
        <v>1.3623062681830205</v>
      </c>
    </row>
    <row r="42" spans="1:8" s="140" customFormat="1" x14ac:dyDescent="0.3">
      <c r="A42" s="136" t="s">
        <v>12</v>
      </c>
      <c r="B42" s="137" t="s">
        <v>198</v>
      </c>
      <c r="C42" s="138">
        <v>26095</v>
      </c>
      <c r="D42" s="138">
        <f>C42</f>
        <v>26095</v>
      </c>
      <c r="E42" s="138">
        <v>12673</v>
      </c>
      <c r="F42" s="138">
        <f t="shared" ref="F42:F49" si="3">E42</f>
        <v>12673</v>
      </c>
      <c r="G42" s="139">
        <f t="shared" si="0"/>
        <v>0.48564859168423069</v>
      </c>
      <c r="H42" s="139">
        <f t="shared" si="0"/>
        <v>0.48564859168423069</v>
      </c>
    </row>
    <row r="43" spans="1:8" s="140" customFormat="1" x14ac:dyDescent="0.3">
      <c r="A43" s="136" t="s">
        <v>12</v>
      </c>
      <c r="B43" s="137" t="s">
        <v>199</v>
      </c>
      <c r="C43" s="138"/>
      <c r="D43" s="138"/>
      <c r="E43" s="138">
        <v>3643.4</v>
      </c>
      <c r="F43" s="138">
        <f t="shared" si="3"/>
        <v>3643.4</v>
      </c>
      <c r="G43" s="139" t="str">
        <f t="shared" si="0"/>
        <v/>
      </c>
      <c r="H43" s="139" t="str">
        <f t="shared" si="0"/>
        <v/>
      </c>
    </row>
    <row r="44" spans="1:8" s="122" customFormat="1" x14ac:dyDescent="0.3">
      <c r="A44" s="124">
        <v>9</v>
      </c>
      <c r="B44" s="125" t="s">
        <v>46</v>
      </c>
      <c r="C44" s="126">
        <v>200</v>
      </c>
      <c r="D44" s="126">
        <f>C44</f>
        <v>200</v>
      </c>
      <c r="E44" s="126">
        <v>417</v>
      </c>
      <c r="F44" s="126">
        <f t="shared" si="3"/>
        <v>417</v>
      </c>
      <c r="G44" s="127">
        <f t="shared" si="0"/>
        <v>2.085</v>
      </c>
      <c r="H44" s="127">
        <f t="shared" si="0"/>
        <v>2.085</v>
      </c>
    </row>
    <row r="45" spans="1:8" s="122" customFormat="1" x14ac:dyDescent="0.3">
      <c r="A45" s="124">
        <v>10</v>
      </c>
      <c r="B45" s="125" t="s">
        <v>47</v>
      </c>
      <c r="C45" s="126">
        <v>3600</v>
      </c>
      <c r="D45" s="126">
        <f>C45</f>
        <v>3600</v>
      </c>
      <c r="E45" s="126">
        <v>3175</v>
      </c>
      <c r="F45" s="126">
        <f t="shared" si="3"/>
        <v>3175</v>
      </c>
      <c r="G45" s="127">
        <f t="shared" si="0"/>
        <v>0.88194444444444442</v>
      </c>
      <c r="H45" s="127">
        <f t="shared" si="0"/>
        <v>0.88194444444444442</v>
      </c>
    </row>
    <row r="46" spans="1:8" s="122" customFormat="1" x14ac:dyDescent="0.3">
      <c r="A46" s="124">
        <v>11</v>
      </c>
      <c r="B46" s="125" t="s">
        <v>48</v>
      </c>
      <c r="C46" s="126">
        <v>20000</v>
      </c>
      <c r="D46" s="126">
        <f>C46</f>
        <v>20000</v>
      </c>
      <c r="E46" s="126">
        <f>85740-E60</f>
        <v>69646</v>
      </c>
      <c r="F46" s="126">
        <f>E46</f>
        <v>69646</v>
      </c>
      <c r="G46" s="127">
        <f t="shared" si="0"/>
        <v>3.4823</v>
      </c>
      <c r="H46" s="127">
        <f t="shared" si="0"/>
        <v>3.4823</v>
      </c>
    </row>
    <row r="47" spans="1:8" s="122" customFormat="1" x14ac:dyDescent="0.3">
      <c r="A47" s="124">
        <v>12</v>
      </c>
      <c r="B47" s="125" t="s">
        <v>49</v>
      </c>
      <c r="C47" s="126">
        <v>200000</v>
      </c>
      <c r="D47" s="126">
        <f>C47</f>
        <v>200000</v>
      </c>
      <c r="E47" s="126">
        <f>516113-E59-E61</f>
        <v>279649</v>
      </c>
      <c r="F47" s="126">
        <f>E47</f>
        <v>279649</v>
      </c>
      <c r="G47" s="127">
        <f t="shared" si="0"/>
        <v>1.398245</v>
      </c>
      <c r="H47" s="127">
        <f t="shared" si="0"/>
        <v>1.398245</v>
      </c>
    </row>
    <row r="48" spans="1:8" s="122" customFormat="1" ht="31.2" x14ac:dyDescent="0.3">
      <c r="A48" s="124">
        <v>13</v>
      </c>
      <c r="B48" s="125" t="s">
        <v>50</v>
      </c>
      <c r="C48" s="126"/>
      <c r="D48" s="126"/>
      <c r="E48" s="126">
        <v>332</v>
      </c>
      <c r="F48" s="126">
        <f t="shared" si="3"/>
        <v>332</v>
      </c>
      <c r="G48" s="127" t="str">
        <f t="shared" si="0"/>
        <v/>
      </c>
      <c r="H48" s="127" t="str">
        <f t="shared" si="0"/>
        <v/>
      </c>
    </row>
    <row r="49" spans="1:8" s="122" customFormat="1" x14ac:dyDescent="0.3">
      <c r="A49" s="124">
        <v>14</v>
      </c>
      <c r="B49" s="125" t="s">
        <v>200</v>
      </c>
      <c r="C49" s="126">
        <v>85000</v>
      </c>
      <c r="D49" s="126">
        <f>C49</f>
        <v>85000</v>
      </c>
      <c r="E49" s="126">
        <v>88008</v>
      </c>
      <c r="F49" s="126">
        <f t="shared" si="3"/>
        <v>88008</v>
      </c>
      <c r="G49" s="127">
        <f t="shared" si="0"/>
        <v>1.0353882352941177</v>
      </c>
      <c r="H49" s="127">
        <f t="shared" si="0"/>
        <v>1.0353882352941177</v>
      </c>
    </row>
    <row r="50" spans="1:8" s="122" customFormat="1" x14ac:dyDescent="0.3">
      <c r="A50" s="125"/>
      <c r="B50" s="125" t="s">
        <v>263</v>
      </c>
      <c r="C50" s="141"/>
      <c r="D50" s="141"/>
      <c r="E50" s="141"/>
      <c r="F50" s="141"/>
      <c r="G50" s="127" t="str">
        <f t="shared" si="0"/>
        <v/>
      </c>
      <c r="H50" s="127" t="str">
        <f t="shared" si="0"/>
        <v/>
      </c>
    </row>
    <row r="51" spans="1:8" s="122" customFormat="1" x14ac:dyDescent="0.3">
      <c r="A51" s="124">
        <v>15</v>
      </c>
      <c r="B51" s="125" t="s">
        <v>51</v>
      </c>
      <c r="C51" s="126">
        <v>85000</v>
      </c>
      <c r="D51" s="126">
        <v>32150</v>
      </c>
      <c r="E51" s="126">
        <v>83232</v>
      </c>
      <c r="F51" s="126">
        <v>32909</v>
      </c>
      <c r="G51" s="127">
        <f t="shared" si="0"/>
        <v>0.97919999999999996</v>
      </c>
      <c r="H51" s="127">
        <f t="shared" si="0"/>
        <v>1.0236080870917574</v>
      </c>
    </row>
    <row r="52" spans="1:8" s="122" customFormat="1" x14ac:dyDescent="0.3">
      <c r="A52" s="124">
        <v>16</v>
      </c>
      <c r="B52" s="125" t="s">
        <v>52</v>
      </c>
      <c r="C52" s="126">
        <v>60000</v>
      </c>
      <c r="D52" s="126">
        <v>39000</v>
      </c>
      <c r="E52" s="126">
        <f>97284-E62</f>
        <v>96599</v>
      </c>
      <c r="F52" s="126">
        <f>67072-F62</f>
        <v>66387</v>
      </c>
      <c r="G52" s="127">
        <f t="shared" si="0"/>
        <v>1.6099833333333333</v>
      </c>
      <c r="H52" s="127">
        <f t="shared" si="0"/>
        <v>1.7022307692307692</v>
      </c>
    </row>
    <row r="53" spans="1:8" s="122" customFormat="1" x14ac:dyDescent="0.3">
      <c r="A53" s="124">
        <v>17</v>
      </c>
      <c r="B53" s="125" t="s">
        <v>53</v>
      </c>
      <c r="C53" s="126">
        <v>2000</v>
      </c>
      <c r="D53" s="126">
        <f>C53</f>
        <v>2000</v>
      </c>
      <c r="E53" s="126">
        <v>1475</v>
      </c>
      <c r="F53" s="126">
        <f>E53</f>
        <v>1475</v>
      </c>
      <c r="G53" s="127">
        <f t="shared" si="0"/>
        <v>0.73750000000000004</v>
      </c>
      <c r="H53" s="127">
        <f t="shared" si="0"/>
        <v>0.73750000000000004</v>
      </c>
    </row>
    <row r="54" spans="1:8" s="122" customFormat="1" x14ac:dyDescent="0.3">
      <c r="A54" s="124">
        <v>18</v>
      </c>
      <c r="B54" s="125" t="s">
        <v>498</v>
      </c>
      <c r="C54" s="126">
        <v>2000</v>
      </c>
      <c r="D54" s="126">
        <f>C54</f>
        <v>2000</v>
      </c>
      <c r="E54" s="126">
        <v>1925</v>
      </c>
      <c r="F54" s="126">
        <f>E54</f>
        <v>1925</v>
      </c>
      <c r="G54" s="127">
        <f t="shared" si="0"/>
        <v>0.96250000000000002</v>
      </c>
      <c r="H54" s="127">
        <f t="shared" si="0"/>
        <v>0.96250000000000002</v>
      </c>
    </row>
    <row r="55" spans="1:8" s="122" customFormat="1" ht="46.8" x14ac:dyDescent="0.3">
      <c r="A55" s="124">
        <v>19</v>
      </c>
      <c r="B55" s="125" t="s">
        <v>502</v>
      </c>
      <c r="C55" s="126"/>
      <c r="D55" s="126"/>
      <c r="E55" s="126"/>
      <c r="F55" s="126"/>
      <c r="G55" s="127" t="str">
        <f t="shared" si="0"/>
        <v/>
      </c>
      <c r="H55" s="127" t="str">
        <f t="shared" si="0"/>
        <v/>
      </c>
    </row>
    <row r="56" spans="1:8" s="122" customFormat="1" x14ac:dyDescent="0.3">
      <c r="A56" s="124">
        <v>20</v>
      </c>
      <c r="B56" s="125" t="s">
        <v>503</v>
      </c>
      <c r="C56" s="126"/>
      <c r="D56" s="126"/>
      <c r="E56" s="126"/>
      <c r="F56" s="126"/>
      <c r="G56" s="127" t="str">
        <f t="shared" si="0"/>
        <v/>
      </c>
      <c r="H56" s="127" t="str">
        <f t="shared" si="0"/>
        <v/>
      </c>
    </row>
    <row r="57" spans="1:8" s="122" customFormat="1" ht="46.8" x14ac:dyDescent="0.3">
      <c r="A57" s="124">
        <v>21</v>
      </c>
      <c r="B57" s="125" t="s">
        <v>264</v>
      </c>
      <c r="C57" s="126">
        <v>898000</v>
      </c>
      <c r="D57" s="126">
        <f>C57</f>
        <v>898000</v>
      </c>
      <c r="E57" s="126">
        <f>E59+E61+E60+E62</f>
        <v>253243</v>
      </c>
      <c r="F57" s="126">
        <f>F59+F60+F61+F62</f>
        <v>253243</v>
      </c>
      <c r="G57" s="127">
        <f t="shared" si="0"/>
        <v>0.28200779510022272</v>
      </c>
      <c r="H57" s="127">
        <f t="shared" si="0"/>
        <v>0.28200779510022272</v>
      </c>
    </row>
    <row r="58" spans="1:8" s="122" customFormat="1" hidden="1" outlineLevel="1" x14ac:dyDescent="0.3">
      <c r="A58" s="136" t="s">
        <v>265</v>
      </c>
      <c r="B58" s="137" t="s">
        <v>74</v>
      </c>
      <c r="C58" s="138"/>
      <c r="D58" s="138"/>
      <c r="E58" s="138"/>
      <c r="F58" s="138"/>
      <c r="G58" s="127" t="str">
        <f t="shared" ref="G58:G68" si="4">IFERROR(E58/C58,"")</f>
        <v/>
      </c>
      <c r="H58" s="127" t="str">
        <f t="shared" ref="H58:H68" si="5">IFERROR(F58/D58,"")</f>
        <v/>
      </c>
    </row>
    <row r="59" spans="1:8" s="130" customFormat="1" ht="31.2" hidden="1" outlineLevel="1" x14ac:dyDescent="0.3">
      <c r="A59" s="142" t="s">
        <v>12</v>
      </c>
      <c r="B59" s="137" t="s">
        <v>266</v>
      </c>
      <c r="C59" s="138"/>
      <c r="D59" s="138"/>
      <c r="E59" s="138">
        <v>48627</v>
      </c>
      <c r="F59" s="138">
        <f>E59</f>
        <v>48627</v>
      </c>
      <c r="G59" s="127" t="str">
        <f t="shared" si="4"/>
        <v/>
      </c>
      <c r="H59" s="127" t="str">
        <f t="shared" si="5"/>
        <v/>
      </c>
    </row>
    <row r="60" spans="1:8" s="130" customFormat="1" ht="31.2" hidden="1" outlineLevel="1" x14ac:dyDescent="0.3">
      <c r="A60" s="143" t="s">
        <v>12</v>
      </c>
      <c r="B60" s="137" t="s">
        <v>267</v>
      </c>
      <c r="C60" s="126"/>
      <c r="D60" s="126"/>
      <c r="E60" s="138">
        <v>16094</v>
      </c>
      <c r="F60" s="138">
        <f>E60</f>
        <v>16094</v>
      </c>
      <c r="G60" s="127" t="str">
        <f t="shared" si="4"/>
        <v/>
      </c>
      <c r="H60" s="127" t="str">
        <f t="shared" si="5"/>
        <v/>
      </c>
    </row>
    <row r="61" spans="1:8" s="130" customFormat="1" ht="31.2" hidden="1" outlineLevel="1" x14ac:dyDescent="0.3">
      <c r="A61" s="142" t="s">
        <v>12</v>
      </c>
      <c r="B61" s="137" t="s">
        <v>268</v>
      </c>
      <c r="C61" s="138"/>
      <c r="D61" s="138"/>
      <c r="E61" s="138">
        <v>187837</v>
      </c>
      <c r="F61" s="138">
        <f>E61</f>
        <v>187837</v>
      </c>
      <c r="G61" s="127" t="str">
        <f t="shared" si="4"/>
        <v/>
      </c>
      <c r="H61" s="127" t="str">
        <f t="shared" si="5"/>
        <v/>
      </c>
    </row>
    <row r="62" spans="1:8" s="130" customFormat="1" ht="31.2" hidden="1" outlineLevel="1" x14ac:dyDescent="0.3">
      <c r="A62" s="124"/>
      <c r="B62" s="137" t="s">
        <v>269</v>
      </c>
      <c r="C62" s="126"/>
      <c r="D62" s="126"/>
      <c r="E62" s="138">
        <v>685</v>
      </c>
      <c r="F62" s="138">
        <v>685</v>
      </c>
      <c r="G62" s="127" t="str">
        <f t="shared" si="4"/>
        <v/>
      </c>
      <c r="H62" s="127" t="str">
        <f t="shared" si="5"/>
        <v/>
      </c>
    </row>
    <row r="63" spans="1:8" collapsed="1" x14ac:dyDescent="0.3">
      <c r="A63" s="124" t="s">
        <v>27</v>
      </c>
      <c r="B63" s="125" t="s">
        <v>54</v>
      </c>
      <c r="C63" s="133"/>
      <c r="D63" s="133"/>
      <c r="E63" s="133"/>
      <c r="F63" s="133"/>
      <c r="G63" s="127" t="str">
        <f t="shared" si="4"/>
        <v/>
      </c>
      <c r="H63" s="127" t="str">
        <f t="shared" si="5"/>
        <v/>
      </c>
    </row>
    <row r="64" spans="1:8" x14ac:dyDescent="0.3">
      <c r="A64" s="124" t="s">
        <v>31</v>
      </c>
      <c r="B64" s="125" t="s">
        <v>201</v>
      </c>
      <c r="C64" s="126">
        <f>SUM(C65:C70)</f>
        <v>270000</v>
      </c>
      <c r="D64" s="126">
        <f>SUM(D65:D70)</f>
        <v>0</v>
      </c>
      <c r="E64" s="126">
        <f>SUM(E65:E70)</f>
        <v>271650.71000000002</v>
      </c>
      <c r="F64" s="126">
        <f>SUM(F65:F70)</f>
        <v>0</v>
      </c>
      <c r="G64" s="127">
        <f t="shared" si="4"/>
        <v>1.0061137407407408</v>
      </c>
      <c r="H64" s="127" t="str">
        <f t="shared" si="5"/>
        <v/>
      </c>
    </row>
    <row r="65" spans="1:8" x14ac:dyDescent="0.3">
      <c r="A65" s="131">
        <v>1</v>
      </c>
      <c r="B65" s="132" t="s">
        <v>55</v>
      </c>
      <c r="C65" s="133">
        <v>3500</v>
      </c>
      <c r="D65" s="133"/>
      <c r="E65" s="133">
        <v>3708.7</v>
      </c>
      <c r="F65" s="133"/>
      <c r="G65" s="134">
        <f t="shared" si="4"/>
        <v>1.0596285714285714</v>
      </c>
      <c r="H65" s="127" t="str">
        <f t="shared" si="5"/>
        <v/>
      </c>
    </row>
    <row r="66" spans="1:8" x14ac:dyDescent="0.3">
      <c r="A66" s="131">
        <v>2</v>
      </c>
      <c r="B66" s="132" t="s">
        <v>56</v>
      </c>
      <c r="C66" s="133">
        <v>4000</v>
      </c>
      <c r="D66" s="133"/>
      <c r="E66" s="133">
        <v>604.41800000000001</v>
      </c>
      <c r="F66" s="133"/>
      <c r="G66" s="134">
        <f t="shared" si="4"/>
        <v>0.1511045</v>
      </c>
      <c r="H66" s="127" t="str">
        <f t="shared" si="5"/>
        <v/>
      </c>
    </row>
    <row r="67" spans="1:8" x14ac:dyDescent="0.3">
      <c r="A67" s="131">
        <v>3</v>
      </c>
      <c r="B67" s="132" t="s">
        <v>181</v>
      </c>
      <c r="C67" s="133"/>
      <c r="D67" s="133"/>
      <c r="E67" s="133">
        <v>84.614999999999995</v>
      </c>
      <c r="F67" s="133"/>
      <c r="G67" s="127" t="str">
        <f t="shared" si="4"/>
        <v/>
      </c>
      <c r="H67" s="127" t="str">
        <f t="shared" si="5"/>
        <v/>
      </c>
    </row>
    <row r="68" spans="1:8" x14ac:dyDescent="0.3">
      <c r="A68" s="131">
        <v>4</v>
      </c>
      <c r="B68" s="132" t="s">
        <v>202</v>
      </c>
      <c r="C68" s="133"/>
      <c r="D68" s="133"/>
      <c r="E68" s="133">
        <v>5.76</v>
      </c>
      <c r="F68" s="133"/>
      <c r="G68" s="127" t="str">
        <f t="shared" si="4"/>
        <v/>
      </c>
      <c r="H68" s="127" t="str">
        <f t="shared" si="5"/>
        <v/>
      </c>
    </row>
    <row r="69" spans="1:8" x14ac:dyDescent="0.3">
      <c r="A69" s="131">
        <v>5</v>
      </c>
      <c r="B69" s="132" t="s">
        <v>203</v>
      </c>
      <c r="C69" s="133">
        <v>262500</v>
      </c>
      <c r="D69" s="133"/>
      <c r="E69" s="133">
        <v>266868</v>
      </c>
      <c r="F69" s="133"/>
      <c r="G69" s="134">
        <f t="shared" ref="G69:G75" si="6">IFERROR(E69/C69,"")</f>
        <v>1.01664</v>
      </c>
      <c r="H69" s="127" t="str">
        <f t="shared" ref="H69:H75" si="7">IFERROR(F69/D69,"")</f>
        <v/>
      </c>
    </row>
    <row r="70" spans="1:8" x14ac:dyDescent="0.3">
      <c r="A70" s="131">
        <v>6</v>
      </c>
      <c r="B70" s="132" t="s">
        <v>57</v>
      </c>
      <c r="C70" s="133"/>
      <c r="D70" s="133"/>
      <c r="E70" s="133">
        <v>379.21699999999998</v>
      </c>
      <c r="F70" s="133"/>
      <c r="G70" s="127" t="str">
        <f t="shared" si="6"/>
        <v/>
      </c>
      <c r="H70" s="127" t="str">
        <f t="shared" si="7"/>
        <v/>
      </c>
    </row>
    <row r="71" spans="1:8" x14ac:dyDescent="0.3">
      <c r="A71" s="124" t="s">
        <v>58</v>
      </c>
      <c r="B71" s="125" t="s">
        <v>204</v>
      </c>
      <c r="C71" s="126"/>
      <c r="D71" s="126"/>
      <c r="E71" s="126">
        <v>25.4</v>
      </c>
      <c r="F71" s="126">
        <f>E71</f>
        <v>25.4</v>
      </c>
      <c r="G71" s="127" t="str">
        <f t="shared" si="6"/>
        <v/>
      </c>
      <c r="H71" s="127" t="str">
        <f t="shared" si="7"/>
        <v/>
      </c>
    </row>
    <row r="72" spans="1:8" x14ac:dyDescent="0.3">
      <c r="A72" s="124" t="s">
        <v>8</v>
      </c>
      <c r="B72" s="125" t="s">
        <v>270</v>
      </c>
      <c r="C72" s="133"/>
      <c r="D72" s="133"/>
      <c r="E72" s="126">
        <v>18271.922999999999</v>
      </c>
      <c r="F72" s="126">
        <f>E72</f>
        <v>18271.922999999999</v>
      </c>
      <c r="G72" s="127" t="str">
        <f t="shared" si="6"/>
        <v/>
      </c>
      <c r="H72" s="127" t="str">
        <f t="shared" si="7"/>
        <v/>
      </c>
    </row>
    <row r="73" spans="1:8" x14ac:dyDescent="0.3">
      <c r="A73" s="124"/>
      <c r="B73" s="144" t="s">
        <v>271</v>
      </c>
      <c r="C73" s="133"/>
      <c r="D73" s="133"/>
      <c r="E73" s="133">
        <v>18271.922999999999</v>
      </c>
      <c r="F73" s="133">
        <f>E73</f>
        <v>18271.922999999999</v>
      </c>
      <c r="G73" s="127" t="str">
        <f t="shared" si="6"/>
        <v/>
      </c>
      <c r="H73" s="127" t="str">
        <f t="shared" si="7"/>
        <v/>
      </c>
    </row>
    <row r="74" spans="1:8" x14ac:dyDescent="0.3">
      <c r="A74" s="124" t="s">
        <v>33</v>
      </c>
      <c r="B74" s="125" t="s">
        <v>59</v>
      </c>
      <c r="C74" s="126"/>
      <c r="D74" s="126"/>
      <c r="E74" s="126">
        <v>106080.350489</v>
      </c>
      <c r="F74" s="126">
        <f>E74</f>
        <v>106080.350489</v>
      </c>
      <c r="G74" s="127" t="str">
        <f t="shared" si="6"/>
        <v/>
      </c>
      <c r="H74" s="127" t="str">
        <f t="shared" si="7"/>
        <v/>
      </c>
    </row>
    <row r="75" spans="1:8" ht="31.2" x14ac:dyDescent="0.3">
      <c r="A75" s="145" t="s">
        <v>34</v>
      </c>
      <c r="B75" s="146" t="s">
        <v>60</v>
      </c>
      <c r="C75" s="147"/>
      <c r="D75" s="147"/>
      <c r="E75" s="147">
        <v>2584074.338399</v>
      </c>
      <c r="F75" s="147">
        <f>E75</f>
        <v>2584074.338399</v>
      </c>
      <c r="G75" s="148" t="str">
        <f t="shared" si="6"/>
        <v/>
      </c>
      <c r="H75" s="148" t="str">
        <f t="shared" si="7"/>
        <v/>
      </c>
    </row>
  </sheetData>
  <mergeCells count="7">
    <mergeCell ref="A3:H3"/>
    <mergeCell ref="A4:H4"/>
    <mergeCell ref="A6:A7"/>
    <mergeCell ref="B6:B7"/>
    <mergeCell ref="C6:D6"/>
    <mergeCell ref="E6:F6"/>
    <mergeCell ref="G6:H6"/>
  </mergeCells>
  <printOptions horizontalCentered="1"/>
  <pageMargins left="0" right="0" top="0.75" bottom="0.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5"/>
  <sheetViews>
    <sheetView zoomScale="90" zoomScaleNormal="90" workbookViewId="0">
      <pane xSplit="2" ySplit="7" topLeftCell="C15" activePane="bottomRight" state="frozen"/>
      <selection pane="topRight" activeCell="C1" sqref="C1"/>
      <selection pane="bottomLeft" activeCell="A9" sqref="A9"/>
      <selection pane="bottomRight" activeCell="F34" sqref="F34"/>
    </sheetView>
  </sheetViews>
  <sheetFormatPr defaultColWidth="9.109375" defaultRowHeight="13.8" outlineLevelRow="1" x14ac:dyDescent="0.3"/>
  <cols>
    <col min="1" max="1" width="9.44140625" style="268" bestFit="1" customWidth="1"/>
    <col min="2" max="2" width="38.109375" style="268" customWidth="1"/>
    <col min="3" max="3" width="11.88671875" style="268" customWidth="1"/>
    <col min="4" max="4" width="10.5546875" style="268" customWidth="1"/>
    <col min="5" max="5" width="11" style="268" customWidth="1"/>
    <col min="6" max="6" width="11" style="268" bestFit="1" customWidth="1"/>
    <col min="7" max="8" width="10.109375" style="268" bestFit="1" customWidth="1"/>
    <col min="9" max="9" width="11.44140625" style="268" bestFit="1" customWidth="1"/>
    <col min="10" max="11" width="9.44140625" style="268" bestFit="1" customWidth="1"/>
    <col min="12" max="12" width="29.5546875" style="268" customWidth="1"/>
    <col min="13" max="13" width="10.109375" style="268" bestFit="1" customWidth="1"/>
    <col min="14" max="257" width="9.109375" style="268"/>
    <col min="258" max="258" width="38.109375" style="268" customWidth="1"/>
    <col min="259" max="259" width="11.88671875" style="268" customWidth="1"/>
    <col min="260" max="260" width="10.5546875" style="268" customWidth="1"/>
    <col min="261" max="261" width="11" style="268" customWidth="1"/>
    <col min="262" max="264" width="10" style="268" bestFit="1" customWidth="1"/>
    <col min="265" max="265" width="11.44140625" style="268" bestFit="1" customWidth="1"/>
    <col min="266" max="267" width="9.109375" style="268"/>
    <col min="268" max="268" width="29.5546875" style="268" customWidth="1"/>
    <col min="269" max="269" width="10.109375" style="268" bestFit="1" customWidth="1"/>
    <col min="270" max="513" width="9.109375" style="268"/>
    <col min="514" max="514" width="38.109375" style="268" customWidth="1"/>
    <col min="515" max="515" width="11.88671875" style="268" customWidth="1"/>
    <col min="516" max="516" width="10.5546875" style="268" customWidth="1"/>
    <col min="517" max="517" width="11" style="268" customWidth="1"/>
    <col min="518" max="520" width="10" style="268" bestFit="1" customWidth="1"/>
    <col min="521" max="521" width="11.44140625" style="268" bestFit="1" customWidth="1"/>
    <col min="522" max="523" width="9.109375" style="268"/>
    <col min="524" max="524" width="29.5546875" style="268" customWidth="1"/>
    <col min="525" max="525" width="10.109375" style="268" bestFit="1" customWidth="1"/>
    <col min="526" max="769" width="9.109375" style="268"/>
    <col min="770" max="770" width="38.109375" style="268" customWidth="1"/>
    <col min="771" max="771" width="11.88671875" style="268" customWidth="1"/>
    <col min="772" max="772" width="10.5546875" style="268" customWidth="1"/>
    <col min="773" max="773" width="11" style="268" customWidth="1"/>
    <col min="774" max="776" width="10" style="268" bestFit="1" customWidth="1"/>
    <col min="777" max="777" width="11.44140625" style="268" bestFit="1" customWidth="1"/>
    <col min="778" max="779" width="9.109375" style="268"/>
    <col min="780" max="780" width="29.5546875" style="268" customWidth="1"/>
    <col min="781" max="781" width="10.109375" style="268" bestFit="1" customWidth="1"/>
    <col min="782" max="1025" width="9.109375" style="268"/>
    <col min="1026" max="1026" width="38.109375" style="268" customWidth="1"/>
    <col min="1027" max="1027" width="11.88671875" style="268" customWidth="1"/>
    <col min="1028" max="1028" width="10.5546875" style="268" customWidth="1"/>
    <col min="1029" max="1029" width="11" style="268" customWidth="1"/>
    <col min="1030" max="1032" width="10" style="268" bestFit="1" customWidth="1"/>
    <col min="1033" max="1033" width="11.44140625" style="268" bestFit="1" customWidth="1"/>
    <col min="1034" max="1035" width="9.109375" style="268"/>
    <col min="1036" max="1036" width="29.5546875" style="268" customWidth="1"/>
    <col min="1037" max="1037" width="10.109375" style="268" bestFit="1" customWidth="1"/>
    <col min="1038" max="1281" width="9.109375" style="268"/>
    <col min="1282" max="1282" width="38.109375" style="268" customWidth="1"/>
    <col min="1283" max="1283" width="11.88671875" style="268" customWidth="1"/>
    <col min="1284" max="1284" width="10.5546875" style="268" customWidth="1"/>
    <col min="1285" max="1285" width="11" style="268" customWidth="1"/>
    <col min="1286" max="1288" width="10" style="268" bestFit="1" customWidth="1"/>
    <col min="1289" max="1289" width="11.44140625" style="268" bestFit="1" customWidth="1"/>
    <col min="1290" max="1291" width="9.109375" style="268"/>
    <col min="1292" max="1292" width="29.5546875" style="268" customWidth="1"/>
    <col min="1293" max="1293" width="10.109375" style="268" bestFit="1" customWidth="1"/>
    <col min="1294" max="1537" width="9.109375" style="268"/>
    <col min="1538" max="1538" width="38.109375" style="268" customWidth="1"/>
    <col min="1539" max="1539" width="11.88671875" style="268" customWidth="1"/>
    <col min="1540" max="1540" width="10.5546875" style="268" customWidth="1"/>
    <col min="1541" max="1541" width="11" style="268" customWidth="1"/>
    <col min="1542" max="1544" width="10" style="268" bestFit="1" customWidth="1"/>
    <col min="1545" max="1545" width="11.44140625" style="268" bestFit="1" customWidth="1"/>
    <col min="1546" max="1547" width="9.109375" style="268"/>
    <col min="1548" max="1548" width="29.5546875" style="268" customWidth="1"/>
    <col min="1549" max="1549" width="10.109375" style="268" bestFit="1" customWidth="1"/>
    <col min="1550" max="1793" width="9.109375" style="268"/>
    <col min="1794" max="1794" width="38.109375" style="268" customWidth="1"/>
    <col min="1795" max="1795" width="11.88671875" style="268" customWidth="1"/>
    <col min="1796" max="1796" width="10.5546875" style="268" customWidth="1"/>
    <col min="1797" max="1797" width="11" style="268" customWidth="1"/>
    <col min="1798" max="1800" width="10" style="268" bestFit="1" customWidth="1"/>
    <col min="1801" max="1801" width="11.44140625" style="268" bestFit="1" customWidth="1"/>
    <col min="1802" max="1803" width="9.109375" style="268"/>
    <col min="1804" max="1804" width="29.5546875" style="268" customWidth="1"/>
    <col min="1805" max="1805" width="10.109375" style="268" bestFit="1" customWidth="1"/>
    <col min="1806" max="2049" width="9.109375" style="268"/>
    <col min="2050" max="2050" width="38.109375" style="268" customWidth="1"/>
    <col min="2051" max="2051" width="11.88671875" style="268" customWidth="1"/>
    <col min="2052" max="2052" width="10.5546875" style="268" customWidth="1"/>
    <col min="2053" max="2053" width="11" style="268" customWidth="1"/>
    <col min="2054" max="2056" width="10" style="268" bestFit="1" customWidth="1"/>
    <col min="2057" max="2057" width="11.44140625" style="268" bestFit="1" customWidth="1"/>
    <col min="2058" max="2059" width="9.109375" style="268"/>
    <col min="2060" max="2060" width="29.5546875" style="268" customWidth="1"/>
    <col min="2061" max="2061" width="10.109375" style="268" bestFit="1" customWidth="1"/>
    <col min="2062" max="2305" width="9.109375" style="268"/>
    <col min="2306" max="2306" width="38.109375" style="268" customWidth="1"/>
    <col min="2307" max="2307" width="11.88671875" style="268" customWidth="1"/>
    <col min="2308" max="2308" width="10.5546875" style="268" customWidth="1"/>
    <col min="2309" max="2309" width="11" style="268" customWidth="1"/>
    <col min="2310" max="2312" width="10" style="268" bestFit="1" customWidth="1"/>
    <col min="2313" max="2313" width="11.44140625" style="268" bestFit="1" customWidth="1"/>
    <col min="2314" max="2315" width="9.109375" style="268"/>
    <col min="2316" max="2316" width="29.5546875" style="268" customWidth="1"/>
    <col min="2317" max="2317" width="10.109375" style="268" bestFit="1" customWidth="1"/>
    <col min="2318" max="2561" width="9.109375" style="268"/>
    <col min="2562" max="2562" width="38.109375" style="268" customWidth="1"/>
    <col min="2563" max="2563" width="11.88671875" style="268" customWidth="1"/>
    <col min="2564" max="2564" width="10.5546875" style="268" customWidth="1"/>
    <col min="2565" max="2565" width="11" style="268" customWidth="1"/>
    <col min="2566" max="2568" width="10" style="268" bestFit="1" customWidth="1"/>
    <col min="2569" max="2569" width="11.44140625" style="268" bestFit="1" customWidth="1"/>
    <col min="2570" max="2571" width="9.109375" style="268"/>
    <col min="2572" max="2572" width="29.5546875" style="268" customWidth="1"/>
    <col min="2573" max="2573" width="10.109375" style="268" bestFit="1" customWidth="1"/>
    <col min="2574" max="2817" width="9.109375" style="268"/>
    <col min="2818" max="2818" width="38.109375" style="268" customWidth="1"/>
    <col min="2819" max="2819" width="11.88671875" style="268" customWidth="1"/>
    <col min="2820" max="2820" width="10.5546875" style="268" customWidth="1"/>
    <col min="2821" max="2821" width="11" style="268" customWidth="1"/>
    <col min="2822" max="2824" width="10" style="268" bestFit="1" customWidth="1"/>
    <col min="2825" max="2825" width="11.44140625" style="268" bestFit="1" customWidth="1"/>
    <col min="2826" max="2827" width="9.109375" style="268"/>
    <col min="2828" max="2828" width="29.5546875" style="268" customWidth="1"/>
    <col min="2829" max="2829" width="10.109375" style="268" bestFit="1" customWidth="1"/>
    <col min="2830" max="3073" width="9.109375" style="268"/>
    <col min="3074" max="3074" width="38.109375" style="268" customWidth="1"/>
    <col min="3075" max="3075" width="11.88671875" style="268" customWidth="1"/>
    <col min="3076" max="3076" width="10.5546875" style="268" customWidth="1"/>
    <col min="3077" max="3077" width="11" style="268" customWidth="1"/>
    <col min="3078" max="3080" width="10" style="268" bestFit="1" customWidth="1"/>
    <col min="3081" max="3081" width="11.44140625" style="268" bestFit="1" customWidth="1"/>
    <col min="3082" max="3083" width="9.109375" style="268"/>
    <col min="3084" max="3084" width="29.5546875" style="268" customWidth="1"/>
    <col min="3085" max="3085" width="10.109375" style="268" bestFit="1" customWidth="1"/>
    <col min="3086" max="3329" width="9.109375" style="268"/>
    <col min="3330" max="3330" width="38.109375" style="268" customWidth="1"/>
    <col min="3331" max="3331" width="11.88671875" style="268" customWidth="1"/>
    <col min="3332" max="3332" width="10.5546875" style="268" customWidth="1"/>
    <col min="3333" max="3333" width="11" style="268" customWidth="1"/>
    <col min="3334" max="3336" width="10" style="268" bestFit="1" customWidth="1"/>
    <col min="3337" max="3337" width="11.44140625" style="268" bestFit="1" customWidth="1"/>
    <col min="3338" max="3339" width="9.109375" style="268"/>
    <col min="3340" max="3340" width="29.5546875" style="268" customWidth="1"/>
    <col min="3341" max="3341" width="10.109375" style="268" bestFit="1" customWidth="1"/>
    <col min="3342" max="3585" width="9.109375" style="268"/>
    <col min="3586" max="3586" width="38.109375" style="268" customWidth="1"/>
    <col min="3587" max="3587" width="11.88671875" style="268" customWidth="1"/>
    <col min="3588" max="3588" width="10.5546875" style="268" customWidth="1"/>
    <col min="3589" max="3589" width="11" style="268" customWidth="1"/>
    <col min="3590" max="3592" width="10" style="268" bestFit="1" customWidth="1"/>
    <col min="3593" max="3593" width="11.44140625" style="268" bestFit="1" customWidth="1"/>
    <col min="3594" max="3595" width="9.109375" style="268"/>
    <col min="3596" max="3596" width="29.5546875" style="268" customWidth="1"/>
    <col min="3597" max="3597" width="10.109375" style="268" bestFit="1" customWidth="1"/>
    <col min="3598" max="3841" width="9.109375" style="268"/>
    <col min="3842" max="3842" width="38.109375" style="268" customWidth="1"/>
    <col min="3843" max="3843" width="11.88671875" style="268" customWidth="1"/>
    <col min="3844" max="3844" width="10.5546875" style="268" customWidth="1"/>
    <col min="3845" max="3845" width="11" style="268" customWidth="1"/>
    <col min="3846" max="3848" width="10" style="268" bestFit="1" customWidth="1"/>
    <col min="3849" max="3849" width="11.44140625" style="268" bestFit="1" customWidth="1"/>
    <col min="3850" max="3851" width="9.109375" style="268"/>
    <col min="3852" max="3852" width="29.5546875" style="268" customWidth="1"/>
    <col min="3853" max="3853" width="10.109375" style="268" bestFit="1" customWidth="1"/>
    <col min="3854" max="4097" width="9.109375" style="268"/>
    <col min="4098" max="4098" width="38.109375" style="268" customWidth="1"/>
    <col min="4099" max="4099" width="11.88671875" style="268" customWidth="1"/>
    <col min="4100" max="4100" width="10.5546875" style="268" customWidth="1"/>
    <col min="4101" max="4101" width="11" style="268" customWidth="1"/>
    <col min="4102" max="4104" width="10" style="268" bestFit="1" customWidth="1"/>
    <col min="4105" max="4105" width="11.44140625" style="268" bestFit="1" customWidth="1"/>
    <col min="4106" max="4107" width="9.109375" style="268"/>
    <col min="4108" max="4108" width="29.5546875" style="268" customWidth="1"/>
    <col min="4109" max="4109" width="10.109375" style="268" bestFit="1" customWidth="1"/>
    <col min="4110" max="4353" width="9.109375" style="268"/>
    <col min="4354" max="4354" width="38.109375" style="268" customWidth="1"/>
    <col min="4355" max="4355" width="11.88671875" style="268" customWidth="1"/>
    <col min="4356" max="4356" width="10.5546875" style="268" customWidth="1"/>
    <col min="4357" max="4357" width="11" style="268" customWidth="1"/>
    <col min="4358" max="4360" width="10" style="268" bestFit="1" customWidth="1"/>
    <col min="4361" max="4361" width="11.44140625" style="268" bestFit="1" customWidth="1"/>
    <col min="4362" max="4363" width="9.109375" style="268"/>
    <col min="4364" max="4364" width="29.5546875" style="268" customWidth="1"/>
    <col min="4365" max="4365" width="10.109375" style="268" bestFit="1" customWidth="1"/>
    <col min="4366" max="4609" width="9.109375" style="268"/>
    <col min="4610" max="4610" width="38.109375" style="268" customWidth="1"/>
    <col min="4611" max="4611" width="11.88671875" style="268" customWidth="1"/>
    <col min="4612" max="4612" width="10.5546875" style="268" customWidth="1"/>
    <col min="4613" max="4613" width="11" style="268" customWidth="1"/>
    <col min="4614" max="4616" width="10" style="268" bestFit="1" customWidth="1"/>
    <col min="4617" max="4617" width="11.44140625" style="268" bestFit="1" customWidth="1"/>
    <col min="4618" max="4619" width="9.109375" style="268"/>
    <col min="4620" max="4620" width="29.5546875" style="268" customWidth="1"/>
    <col min="4621" max="4621" width="10.109375" style="268" bestFit="1" customWidth="1"/>
    <col min="4622" max="4865" width="9.109375" style="268"/>
    <col min="4866" max="4866" width="38.109375" style="268" customWidth="1"/>
    <col min="4867" max="4867" width="11.88671875" style="268" customWidth="1"/>
    <col min="4868" max="4868" width="10.5546875" style="268" customWidth="1"/>
    <col min="4869" max="4869" width="11" style="268" customWidth="1"/>
    <col min="4870" max="4872" width="10" style="268" bestFit="1" customWidth="1"/>
    <col min="4873" max="4873" width="11.44140625" style="268" bestFit="1" customWidth="1"/>
    <col min="4874" max="4875" width="9.109375" style="268"/>
    <col min="4876" max="4876" width="29.5546875" style="268" customWidth="1"/>
    <col min="4877" max="4877" width="10.109375" style="268" bestFit="1" customWidth="1"/>
    <col min="4878" max="5121" width="9.109375" style="268"/>
    <col min="5122" max="5122" width="38.109375" style="268" customWidth="1"/>
    <col min="5123" max="5123" width="11.88671875" style="268" customWidth="1"/>
    <col min="5124" max="5124" width="10.5546875" style="268" customWidth="1"/>
    <col min="5125" max="5125" width="11" style="268" customWidth="1"/>
    <col min="5126" max="5128" width="10" style="268" bestFit="1" customWidth="1"/>
    <col min="5129" max="5129" width="11.44140625" style="268" bestFit="1" customWidth="1"/>
    <col min="5130" max="5131" width="9.109375" style="268"/>
    <col min="5132" max="5132" width="29.5546875" style="268" customWidth="1"/>
    <col min="5133" max="5133" width="10.109375" style="268" bestFit="1" customWidth="1"/>
    <col min="5134" max="5377" width="9.109375" style="268"/>
    <col min="5378" max="5378" width="38.109375" style="268" customWidth="1"/>
    <col min="5379" max="5379" width="11.88671875" style="268" customWidth="1"/>
    <col min="5380" max="5380" width="10.5546875" style="268" customWidth="1"/>
    <col min="5381" max="5381" width="11" style="268" customWidth="1"/>
    <col min="5382" max="5384" width="10" style="268" bestFit="1" customWidth="1"/>
    <col min="5385" max="5385" width="11.44140625" style="268" bestFit="1" customWidth="1"/>
    <col min="5386" max="5387" width="9.109375" style="268"/>
    <col min="5388" max="5388" width="29.5546875" style="268" customWidth="1"/>
    <col min="5389" max="5389" width="10.109375" style="268" bestFit="1" customWidth="1"/>
    <col min="5390" max="5633" width="9.109375" style="268"/>
    <col min="5634" max="5634" width="38.109375" style="268" customWidth="1"/>
    <col min="5635" max="5635" width="11.88671875" style="268" customWidth="1"/>
    <col min="5636" max="5636" width="10.5546875" style="268" customWidth="1"/>
    <col min="5637" max="5637" width="11" style="268" customWidth="1"/>
    <col min="5638" max="5640" width="10" style="268" bestFit="1" customWidth="1"/>
    <col min="5641" max="5641" width="11.44140625" style="268" bestFit="1" customWidth="1"/>
    <col min="5642" max="5643" width="9.109375" style="268"/>
    <col min="5644" max="5644" width="29.5546875" style="268" customWidth="1"/>
    <col min="5645" max="5645" width="10.109375" style="268" bestFit="1" customWidth="1"/>
    <col min="5646" max="5889" width="9.109375" style="268"/>
    <col min="5890" max="5890" width="38.109375" style="268" customWidth="1"/>
    <col min="5891" max="5891" width="11.88671875" style="268" customWidth="1"/>
    <col min="5892" max="5892" width="10.5546875" style="268" customWidth="1"/>
    <col min="5893" max="5893" width="11" style="268" customWidth="1"/>
    <col min="5894" max="5896" width="10" style="268" bestFit="1" customWidth="1"/>
    <col min="5897" max="5897" width="11.44140625" style="268" bestFit="1" customWidth="1"/>
    <col min="5898" max="5899" width="9.109375" style="268"/>
    <col min="5900" max="5900" width="29.5546875" style="268" customWidth="1"/>
    <col min="5901" max="5901" width="10.109375" style="268" bestFit="1" customWidth="1"/>
    <col min="5902" max="6145" width="9.109375" style="268"/>
    <col min="6146" max="6146" width="38.109375" style="268" customWidth="1"/>
    <col min="6147" max="6147" width="11.88671875" style="268" customWidth="1"/>
    <col min="6148" max="6148" width="10.5546875" style="268" customWidth="1"/>
    <col min="6149" max="6149" width="11" style="268" customWidth="1"/>
    <col min="6150" max="6152" width="10" style="268" bestFit="1" customWidth="1"/>
    <col min="6153" max="6153" width="11.44140625" style="268" bestFit="1" customWidth="1"/>
    <col min="6154" max="6155" width="9.109375" style="268"/>
    <col min="6156" max="6156" width="29.5546875" style="268" customWidth="1"/>
    <col min="6157" max="6157" width="10.109375" style="268" bestFit="1" customWidth="1"/>
    <col min="6158" max="6401" width="9.109375" style="268"/>
    <col min="6402" max="6402" width="38.109375" style="268" customWidth="1"/>
    <col min="6403" max="6403" width="11.88671875" style="268" customWidth="1"/>
    <col min="6404" max="6404" width="10.5546875" style="268" customWidth="1"/>
    <col min="6405" max="6405" width="11" style="268" customWidth="1"/>
    <col min="6406" max="6408" width="10" style="268" bestFit="1" customWidth="1"/>
    <col min="6409" max="6409" width="11.44140625" style="268" bestFit="1" customWidth="1"/>
    <col min="6410" max="6411" width="9.109375" style="268"/>
    <col min="6412" max="6412" width="29.5546875" style="268" customWidth="1"/>
    <col min="6413" max="6413" width="10.109375" style="268" bestFit="1" customWidth="1"/>
    <col min="6414" max="6657" width="9.109375" style="268"/>
    <col min="6658" max="6658" width="38.109375" style="268" customWidth="1"/>
    <col min="6659" max="6659" width="11.88671875" style="268" customWidth="1"/>
    <col min="6660" max="6660" width="10.5546875" style="268" customWidth="1"/>
    <col min="6661" max="6661" width="11" style="268" customWidth="1"/>
    <col min="6662" max="6664" width="10" style="268" bestFit="1" customWidth="1"/>
    <col min="6665" max="6665" width="11.44140625" style="268" bestFit="1" customWidth="1"/>
    <col min="6666" max="6667" width="9.109375" style="268"/>
    <col min="6668" max="6668" width="29.5546875" style="268" customWidth="1"/>
    <col min="6669" max="6669" width="10.109375" style="268" bestFit="1" customWidth="1"/>
    <col min="6670" max="6913" width="9.109375" style="268"/>
    <col min="6914" max="6914" width="38.109375" style="268" customWidth="1"/>
    <col min="6915" max="6915" width="11.88671875" style="268" customWidth="1"/>
    <col min="6916" max="6916" width="10.5546875" style="268" customWidth="1"/>
    <col min="6917" max="6917" width="11" style="268" customWidth="1"/>
    <col min="6918" max="6920" width="10" style="268" bestFit="1" customWidth="1"/>
    <col min="6921" max="6921" width="11.44140625" style="268" bestFit="1" customWidth="1"/>
    <col min="6922" max="6923" width="9.109375" style="268"/>
    <col min="6924" max="6924" width="29.5546875" style="268" customWidth="1"/>
    <col min="6925" max="6925" width="10.109375" style="268" bestFit="1" customWidth="1"/>
    <col min="6926" max="7169" width="9.109375" style="268"/>
    <col min="7170" max="7170" width="38.109375" style="268" customWidth="1"/>
    <col min="7171" max="7171" width="11.88671875" style="268" customWidth="1"/>
    <col min="7172" max="7172" width="10.5546875" style="268" customWidth="1"/>
    <col min="7173" max="7173" width="11" style="268" customWidth="1"/>
    <col min="7174" max="7176" width="10" style="268" bestFit="1" customWidth="1"/>
    <col min="7177" max="7177" width="11.44140625" style="268" bestFit="1" customWidth="1"/>
    <col min="7178" max="7179" width="9.109375" style="268"/>
    <col min="7180" max="7180" width="29.5546875" style="268" customWidth="1"/>
    <col min="7181" max="7181" width="10.109375" style="268" bestFit="1" customWidth="1"/>
    <col min="7182" max="7425" width="9.109375" style="268"/>
    <col min="7426" max="7426" width="38.109375" style="268" customWidth="1"/>
    <col min="7427" max="7427" width="11.88671875" style="268" customWidth="1"/>
    <col min="7428" max="7428" width="10.5546875" style="268" customWidth="1"/>
    <col min="7429" max="7429" width="11" style="268" customWidth="1"/>
    <col min="7430" max="7432" width="10" style="268" bestFit="1" customWidth="1"/>
    <col min="7433" max="7433" width="11.44140625" style="268" bestFit="1" customWidth="1"/>
    <col min="7434" max="7435" width="9.109375" style="268"/>
    <col min="7436" max="7436" width="29.5546875" style="268" customWidth="1"/>
    <col min="7437" max="7437" width="10.109375" style="268" bestFit="1" customWidth="1"/>
    <col min="7438" max="7681" width="9.109375" style="268"/>
    <col min="7682" max="7682" width="38.109375" style="268" customWidth="1"/>
    <col min="7683" max="7683" width="11.88671875" style="268" customWidth="1"/>
    <col min="7684" max="7684" width="10.5546875" style="268" customWidth="1"/>
    <col min="7685" max="7685" width="11" style="268" customWidth="1"/>
    <col min="7686" max="7688" width="10" style="268" bestFit="1" customWidth="1"/>
    <col min="7689" max="7689" width="11.44140625" style="268" bestFit="1" customWidth="1"/>
    <col min="7690" max="7691" width="9.109375" style="268"/>
    <col min="7692" max="7692" width="29.5546875" style="268" customWidth="1"/>
    <col min="7693" max="7693" width="10.109375" style="268" bestFit="1" customWidth="1"/>
    <col min="7694" max="7937" width="9.109375" style="268"/>
    <col min="7938" max="7938" width="38.109375" style="268" customWidth="1"/>
    <col min="7939" max="7939" width="11.88671875" style="268" customWidth="1"/>
    <col min="7940" max="7940" width="10.5546875" style="268" customWidth="1"/>
    <col min="7941" max="7941" width="11" style="268" customWidth="1"/>
    <col min="7942" max="7944" width="10" style="268" bestFit="1" customWidth="1"/>
    <col min="7945" max="7945" width="11.44140625" style="268" bestFit="1" customWidth="1"/>
    <col min="7946" max="7947" width="9.109375" style="268"/>
    <col min="7948" max="7948" width="29.5546875" style="268" customWidth="1"/>
    <col min="7949" max="7949" width="10.109375" style="268" bestFit="1" customWidth="1"/>
    <col min="7950" max="8193" width="9.109375" style="268"/>
    <col min="8194" max="8194" width="38.109375" style="268" customWidth="1"/>
    <col min="8195" max="8195" width="11.88671875" style="268" customWidth="1"/>
    <col min="8196" max="8196" width="10.5546875" style="268" customWidth="1"/>
    <col min="8197" max="8197" width="11" style="268" customWidth="1"/>
    <col min="8198" max="8200" width="10" style="268" bestFit="1" customWidth="1"/>
    <col min="8201" max="8201" width="11.44140625" style="268" bestFit="1" customWidth="1"/>
    <col min="8202" max="8203" width="9.109375" style="268"/>
    <col min="8204" max="8204" width="29.5546875" style="268" customWidth="1"/>
    <col min="8205" max="8205" width="10.109375" style="268" bestFit="1" customWidth="1"/>
    <col min="8206" max="8449" width="9.109375" style="268"/>
    <col min="8450" max="8450" width="38.109375" style="268" customWidth="1"/>
    <col min="8451" max="8451" width="11.88671875" style="268" customWidth="1"/>
    <col min="8452" max="8452" width="10.5546875" style="268" customWidth="1"/>
    <col min="8453" max="8453" width="11" style="268" customWidth="1"/>
    <col min="8454" max="8456" width="10" style="268" bestFit="1" customWidth="1"/>
    <col min="8457" max="8457" width="11.44140625" style="268" bestFit="1" customWidth="1"/>
    <col min="8458" max="8459" width="9.109375" style="268"/>
    <col min="8460" max="8460" width="29.5546875" style="268" customWidth="1"/>
    <col min="8461" max="8461" width="10.109375" style="268" bestFit="1" customWidth="1"/>
    <col min="8462" max="8705" width="9.109375" style="268"/>
    <col min="8706" max="8706" width="38.109375" style="268" customWidth="1"/>
    <col min="8707" max="8707" width="11.88671875" style="268" customWidth="1"/>
    <col min="8708" max="8708" width="10.5546875" style="268" customWidth="1"/>
    <col min="8709" max="8709" width="11" style="268" customWidth="1"/>
    <col min="8710" max="8712" width="10" style="268" bestFit="1" customWidth="1"/>
    <col min="8713" max="8713" width="11.44140625" style="268" bestFit="1" customWidth="1"/>
    <col min="8714" max="8715" width="9.109375" style="268"/>
    <col min="8716" max="8716" width="29.5546875" style="268" customWidth="1"/>
    <col min="8717" max="8717" width="10.109375" style="268" bestFit="1" customWidth="1"/>
    <col min="8718" max="8961" width="9.109375" style="268"/>
    <col min="8962" max="8962" width="38.109375" style="268" customWidth="1"/>
    <col min="8963" max="8963" width="11.88671875" style="268" customWidth="1"/>
    <col min="8964" max="8964" width="10.5546875" style="268" customWidth="1"/>
    <col min="8965" max="8965" width="11" style="268" customWidth="1"/>
    <col min="8966" max="8968" width="10" style="268" bestFit="1" customWidth="1"/>
    <col min="8969" max="8969" width="11.44140625" style="268" bestFit="1" customWidth="1"/>
    <col min="8970" max="8971" width="9.109375" style="268"/>
    <col min="8972" max="8972" width="29.5546875" style="268" customWidth="1"/>
    <col min="8973" max="8973" width="10.109375" style="268" bestFit="1" customWidth="1"/>
    <col min="8974" max="9217" width="9.109375" style="268"/>
    <col min="9218" max="9218" width="38.109375" style="268" customWidth="1"/>
    <col min="9219" max="9219" width="11.88671875" style="268" customWidth="1"/>
    <col min="9220" max="9220" width="10.5546875" style="268" customWidth="1"/>
    <col min="9221" max="9221" width="11" style="268" customWidth="1"/>
    <col min="9222" max="9224" width="10" style="268" bestFit="1" customWidth="1"/>
    <col min="9225" max="9225" width="11.44140625" style="268" bestFit="1" customWidth="1"/>
    <col min="9226" max="9227" width="9.109375" style="268"/>
    <col min="9228" max="9228" width="29.5546875" style="268" customWidth="1"/>
    <col min="9229" max="9229" width="10.109375" style="268" bestFit="1" customWidth="1"/>
    <col min="9230" max="9473" width="9.109375" style="268"/>
    <col min="9474" max="9474" width="38.109375" style="268" customWidth="1"/>
    <col min="9475" max="9475" width="11.88671875" style="268" customWidth="1"/>
    <col min="9476" max="9476" width="10.5546875" style="268" customWidth="1"/>
    <col min="9477" max="9477" width="11" style="268" customWidth="1"/>
    <col min="9478" max="9480" width="10" style="268" bestFit="1" customWidth="1"/>
    <col min="9481" max="9481" width="11.44140625" style="268" bestFit="1" customWidth="1"/>
    <col min="9482" max="9483" width="9.109375" style="268"/>
    <col min="9484" max="9484" width="29.5546875" style="268" customWidth="1"/>
    <col min="9485" max="9485" width="10.109375" style="268" bestFit="1" customWidth="1"/>
    <col min="9486" max="9729" width="9.109375" style="268"/>
    <col min="9730" max="9730" width="38.109375" style="268" customWidth="1"/>
    <col min="9731" max="9731" width="11.88671875" style="268" customWidth="1"/>
    <col min="9732" max="9732" width="10.5546875" style="268" customWidth="1"/>
    <col min="9733" max="9733" width="11" style="268" customWidth="1"/>
    <col min="9734" max="9736" width="10" style="268" bestFit="1" customWidth="1"/>
    <col min="9737" max="9737" width="11.44140625" style="268" bestFit="1" customWidth="1"/>
    <col min="9738" max="9739" width="9.109375" style="268"/>
    <col min="9740" max="9740" width="29.5546875" style="268" customWidth="1"/>
    <col min="9741" max="9741" width="10.109375" style="268" bestFit="1" customWidth="1"/>
    <col min="9742" max="9985" width="9.109375" style="268"/>
    <col min="9986" max="9986" width="38.109375" style="268" customWidth="1"/>
    <col min="9987" max="9987" width="11.88671875" style="268" customWidth="1"/>
    <col min="9988" max="9988" width="10.5546875" style="268" customWidth="1"/>
    <col min="9989" max="9989" width="11" style="268" customWidth="1"/>
    <col min="9990" max="9992" width="10" style="268" bestFit="1" customWidth="1"/>
    <col min="9993" max="9993" width="11.44140625" style="268" bestFit="1" customWidth="1"/>
    <col min="9994" max="9995" width="9.109375" style="268"/>
    <col min="9996" max="9996" width="29.5546875" style="268" customWidth="1"/>
    <col min="9997" max="9997" width="10.109375" style="268" bestFit="1" customWidth="1"/>
    <col min="9998" max="10241" width="9.109375" style="268"/>
    <col min="10242" max="10242" width="38.109375" style="268" customWidth="1"/>
    <col min="10243" max="10243" width="11.88671875" style="268" customWidth="1"/>
    <col min="10244" max="10244" width="10.5546875" style="268" customWidth="1"/>
    <col min="10245" max="10245" width="11" style="268" customWidth="1"/>
    <col min="10246" max="10248" width="10" style="268" bestFit="1" customWidth="1"/>
    <col min="10249" max="10249" width="11.44140625" style="268" bestFit="1" customWidth="1"/>
    <col min="10250" max="10251" width="9.109375" style="268"/>
    <col min="10252" max="10252" width="29.5546875" style="268" customWidth="1"/>
    <col min="10253" max="10253" width="10.109375" style="268" bestFit="1" customWidth="1"/>
    <col min="10254" max="10497" width="9.109375" style="268"/>
    <col min="10498" max="10498" width="38.109375" style="268" customWidth="1"/>
    <col min="10499" max="10499" width="11.88671875" style="268" customWidth="1"/>
    <col min="10500" max="10500" width="10.5546875" style="268" customWidth="1"/>
    <col min="10501" max="10501" width="11" style="268" customWidth="1"/>
    <col min="10502" max="10504" width="10" style="268" bestFit="1" customWidth="1"/>
    <col min="10505" max="10505" width="11.44140625" style="268" bestFit="1" customWidth="1"/>
    <col min="10506" max="10507" width="9.109375" style="268"/>
    <col min="10508" max="10508" width="29.5546875" style="268" customWidth="1"/>
    <col min="10509" max="10509" width="10.109375" style="268" bestFit="1" customWidth="1"/>
    <col min="10510" max="10753" width="9.109375" style="268"/>
    <col min="10754" max="10754" width="38.109375" style="268" customWidth="1"/>
    <col min="10755" max="10755" width="11.88671875" style="268" customWidth="1"/>
    <col min="10756" max="10756" width="10.5546875" style="268" customWidth="1"/>
    <col min="10757" max="10757" width="11" style="268" customWidth="1"/>
    <col min="10758" max="10760" width="10" style="268" bestFit="1" customWidth="1"/>
    <col min="10761" max="10761" width="11.44140625" style="268" bestFit="1" customWidth="1"/>
    <col min="10762" max="10763" width="9.109375" style="268"/>
    <col min="10764" max="10764" width="29.5546875" style="268" customWidth="1"/>
    <col min="10765" max="10765" width="10.109375" style="268" bestFit="1" customWidth="1"/>
    <col min="10766" max="11009" width="9.109375" style="268"/>
    <col min="11010" max="11010" width="38.109375" style="268" customWidth="1"/>
    <col min="11011" max="11011" width="11.88671875" style="268" customWidth="1"/>
    <col min="11012" max="11012" width="10.5546875" style="268" customWidth="1"/>
    <col min="11013" max="11013" width="11" style="268" customWidth="1"/>
    <col min="11014" max="11016" width="10" style="268" bestFit="1" customWidth="1"/>
    <col min="11017" max="11017" width="11.44140625" style="268" bestFit="1" customWidth="1"/>
    <col min="11018" max="11019" width="9.109375" style="268"/>
    <col min="11020" max="11020" width="29.5546875" style="268" customWidth="1"/>
    <col min="11021" max="11021" width="10.109375" style="268" bestFit="1" customWidth="1"/>
    <col min="11022" max="11265" width="9.109375" style="268"/>
    <col min="11266" max="11266" width="38.109375" style="268" customWidth="1"/>
    <col min="11267" max="11267" width="11.88671875" style="268" customWidth="1"/>
    <col min="11268" max="11268" width="10.5546875" style="268" customWidth="1"/>
    <col min="11269" max="11269" width="11" style="268" customWidth="1"/>
    <col min="11270" max="11272" width="10" style="268" bestFit="1" customWidth="1"/>
    <col min="11273" max="11273" width="11.44140625" style="268" bestFit="1" customWidth="1"/>
    <col min="11274" max="11275" width="9.109375" style="268"/>
    <col min="11276" max="11276" width="29.5546875" style="268" customWidth="1"/>
    <col min="11277" max="11277" width="10.109375" style="268" bestFit="1" customWidth="1"/>
    <col min="11278" max="11521" width="9.109375" style="268"/>
    <col min="11522" max="11522" width="38.109375" style="268" customWidth="1"/>
    <col min="11523" max="11523" width="11.88671875" style="268" customWidth="1"/>
    <col min="11524" max="11524" width="10.5546875" style="268" customWidth="1"/>
    <col min="11525" max="11525" width="11" style="268" customWidth="1"/>
    <col min="11526" max="11528" width="10" style="268" bestFit="1" customWidth="1"/>
    <col min="11529" max="11529" width="11.44140625" style="268" bestFit="1" customWidth="1"/>
    <col min="11530" max="11531" width="9.109375" style="268"/>
    <col min="11532" max="11532" width="29.5546875" style="268" customWidth="1"/>
    <col min="11533" max="11533" width="10.109375" style="268" bestFit="1" customWidth="1"/>
    <col min="11534" max="11777" width="9.109375" style="268"/>
    <col min="11778" max="11778" width="38.109375" style="268" customWidth="1"/>
    <col min="11779" max="11779" width="11.88671875" style="268" customWidth="1"/>
    <col min="11780" max="11780" width="10.5546875" style="268" customWidth="1"/>
    <col min="11781" max="11781" width="11" style="268" customWidth="1"/>
    <col min="11782" max="11784" width="10" style="268" bestFit="1" customWidth="1"/>
    <col min="11785" max="11785" width="11.44140625" style="268" bestFit="1" customWidth="1"/>
    <col min="11786" max="11787" width="9.109375" style="268"/>
    <col min="11788" max="11788" width="29.5546875" style="268" customWidth="1"/>
    <col min="11789" max="11789" width="10.109375" style="268" bestFit="1" customWidth="1"/>
    <col min="11790" max="12033" width="9.109375" style="268"/>
    <col min="12034" max="12034" width="38.109375" style="268" customWidth="1"/>
    <col min="12035" max="12035" width="11.88671875" style="268" customWidth="1"/>
    <col min="12036" max="12036" width="10.5546875" style="268" customWidth="1"/>
    <col min="12037" max="12037" width="11" style="268" customWidth="1"/>
    <col min="12038" max="12040" width="10" style="268" bestFit="1" customWidth="1"/>
    <col min="12041" max="12041" width="11.44140625" style="268" bestFit="1" customWidth="1"/>
    <col min="12042" max="12043" width="9.109375" style="268"/>
    <col min="12044" max="12044" width="29.5546875" style="268" customWidth="1"/>
    <col min="12045" max="12045" width="10.109375" style="268" bestFit="1" customWidth="1"/>
    <col min="12046" max="12289" width="9.109375" style="268"/>
    <col min="12290" max="12290" width="38.109375" style="268" customWidth="1"/>
    <col min="12291" max="12291" width="11.88671875" style="268" customWidth="1"/>
    <col min="12292" max="12292" width="10.5546875" style="268" customWidth="1"/>
    <col min="12293" max="12293" width="11" style="268" customWidth="1"/>
    <col min="12294" max="12296" width="10" style="268" bestFit="1" customWidth="1"/>
    <col min="12297" max="12297" width="11.44140625" style="268" bestFit="1" customWidth="1"/>
    <col min="12298" max="12299" width="9.109375" style="268"/>
    <col min="12300" max="12300" width="29.5546875" style="268" customWidth="1"/>
    <col min="12301" max="12301" width="10.109375" style="268" bestFit="1" customWidth="1"/>
    <col min="12302" max="12545" width="9.109375" style="268"/>
    <col min="12546" max="12546" width="38.109375" style="268" customWidth="1"/>
    <col min="12547" max="12547" width="11.88671875" style="268" customWidth="1"/>
    <col min="12548" max="12548" width="10.5546875" style="268" customWidth="1"/>
    <col min="12549" max="12549" width="11" style="268" customWidth="1"/>
    <col min="12550" max="12552" width="10" style="268" bestFit="1" customWidth="1"/>
    <col min="12553" max="12553" width="11.44140625" style="268" bestFit="1" customWidth="1"/>
    <col min="12554" max="12555" width="9.109375" style="268"/>
    <col min="12556" max="12556" width="29.5546875" style="268" customWidth="1"/>
    <col min="12557" max="12557" width="10.109375" style="268" bestFit="1" customWidth="1"/>
    <col min="12558" max="12801" width="9.109375" style="268"/>
    <col min="12802" max="12802" width="38.109375" style="268" customWidth="1"/>
    <col min="12803" max="12803" width="11.88671875" style="268" customWidth="1"/>
    <col min="12804" max="12804" width="10.5546875" style="268" customWidth="1"/>
    <col min="12805" max="12805" width="11" style="268" customWidth="1"/>
    <col min="12806" max="12808" width="10" style="268" bestFit="1" customWidth="1"/>
    <col min="12809" max="12809" width="11.44140625" style="268" bestFit="1" customWidth="1"/>
    <col min="12810" max="12811" width="9.109375" style="268"/>
    <col min="12812" max="12812" width="29.5546875" style="268" customWidth="1"/>
    <col min="12813" max="12813" width="10.109375" style="268" bestFit="1" customWidth="1"/>
    <col min="12814" max="13057" width="9.109375" style="268"/>
    <col min="13058" max="13058" width="38.109375" style="268" customWidth="1"/>
    <col min="13059" max="13059" width="11.88671875" style="268" customWidth="1"/>
    <col min="13060" max="13060" width="10.5546875" style="268" customWidth="1"/>
    <col min="13061" max="13061" width="11" style="268" customWidth="1"/>
    <col min="13062" max="13064" width="10" style="268" bestFit="1" customWidth="1"/>
    <col min="13065" max="13065" width="11.44140625" style="268" bestFit="1" customWidth="1"/>
    <col min="13066" max="13067" width="9.109375" style="268"/>
    <col min="13068" max="13068" width="29.5546875" style="268" customWidth="1"/>
    <col min="13069" max="13069" width="10.109375" style="268" bestFit="1" customWidth="1"/>
    <col min="13070" max="13313" width="9.109375" style="268"/>
    <col min="13314" max="13314" width="38.109375" style="268" customWidth="1"/>
    <col min="13315" max="13315" width="11.88671875" style="268" customWidth="1"/>
    <col min="13316" max="13316" width="10.5546875" style="268" customWidth="1"/>
    <col min="13317" max="13317" width="11" style="268" customWidth="1"/>
    <col min="13318" max="13320" width="10" style="268" bestFit="1" customWidth="1"/>
    <col min="13321" max="13321" width="11.44140625" style="268" bestFit="1" customWidth="1"/>
    <col min="13322" max="13323" width="9.109375" style="268"/>
    <col min="13324" max="13324" width="29.5546875" style="268" customWidth="1"/>
    <col min="13325" max="13325" width="10.109375" style="268" bestFit="1" customWidth="1"/>
    <col min="13326" max="13569" width="9.109375" style="268"/>
    <col min="13570" max="13570" width="38.109375" style="268" customWidth="1"/>
    <col min="13571" max="13571" width="11.88671875" style="268" customWidth="1"/>
    <col min="13572" max="13572" width="10.5546875" style="268" customWidth="1"/>
    <col min="13573" max="13573" width="11" style="268" customWidth="1"/>
    <col min="13574" max="13576" width="10" style="268" bestFit="1" customWidth="1"/>
    <col min="13577" max="13577" width="11.44140625" style="268" bestFit="1" customWidth="1"/>
    <col min="13578" max="13579" width="9.109375" style="268"/>
    <col min="13580" max="13580" width="29.5546875" style="268" customWidth="1"/>
    <col min="13581" max="13581" width="10.109375" style="268" bestFit="1" customWidth="1"/>
    <col min="13582" max="13825" width="9.109375" style="268"/>
    <col min="13826" max="13826" width="38.109375" style="268" customWidth="1"/>
    <col min="13827" max="13827" width="11.88671875" style="268" customWidth="1"/>
    <col min="13828" max="13828" width="10.5546875" style="268" customWidth="1"/>
    <col min="13829" max="13829" width="11" style="268" customWidth="1"/>
    <col min="13830" max="13832" width="10" style="268" bestFit="1" customWidth="1"/>
    <col min="13833" max="13833" width="11.44140625" style="268" bestFit="1" customWidth="1"/>
    <col min="13834" max="13835" width="9.109375" style="268"/>
    <col min="13836" max="13836" width="29.5546875" style="268" customWidth="1"/>
    <col min="13837" max="13837" width="10.109375" style="268" bestFit="1" customWidth="1"/>
    <col min="13838" max="14081" width="9.109375" style="268"/>
    <col min="14082" max="14082" width="38.109375" style="268" customWidth="1"/>
    <col min="14083" max="14083" width="11.88671875" style="268" customWidth="1"/>
    <col min="14084" max="14084" width="10.5546875" style="268" customWidth="1"/>
    <col min="14085" max="14085" width="11" style="268" customWidth="1"/>
    <col min="14086" max="14088" width="10" style="268" bestFit="1" customWidth="1"/>
    <col min="14089" max="14089" width="11.44140625" style="268" bestFit="1" customWidth="1"/>
    <col min="14090" max="14091" width="9.109375" style="268"/>
    <col min="14092" max="14092" width="29.5546875" style="268" customWidth="1"/>
    <col min="14093" max="14093" width="10.109375" style="268" bestFit="1" customWidth="1"/>
    <col min="14094" max="14337" width="9.109375" style="268"/>
    <col min="14338" max="14338" width="38.109375" style="268" customWidth="1"/>
    <col min="14339" max="14339" width="11.88671875" style="268" customWidth="1"/>
    <col min="14340" max="14340" width="10.5546875" style="268" customWidth="1"/>
    <col min="14341" max="14341" width="11" style="268" customWidth="1"/>
    <col min="14342" max="14344" width="10" style="268" bestFit="1" customWidth="1"/>
    <col min="14345" max="14345" width="11.44140625" style="268" bestFit="1" customWidth="1"/>
    <col min="14346" max="14347" width="9.109375" style="268"/>
    <col min="14348" max="14348" width="29.5546875" style="268" customWidth="1"/>
    <col min="14349" max="14349" width="10.109375" style="268" bestFit="1" customWidth="1"/>
    <col min="14350" max="14593" width="9.109375" style="268"/>
    <col min="14594" max="14594" width="38.109375" style="268" customWidth="1"/>
    <col min="14595" max="14595" width="11.88671875" style="268" customWidth="1"/>
    <col min="14596" max="14596" width="10.5546875" style="268" customWidth="1"/>
    <col min="14597" max="14597" width="11" style="268" customWidth="1"/>
    <col min="14598" max="14600" width="10" style="268" bestFit="1" customWidth="1"/>
    <col min="14601" max="14601" width="11.44140625" style="268" bestFit="1" customWidth="1"/>
    <col min="14602" max="14603" width="9.109375" style="268"/>
    <col min="14604" max="14604" width="29.5546875" style="268" customWidth="1"/>
    <col min="14605" max="14605" width="10.109375" style="268" bestFit="1" customWidth="1"/>
    <col min="14606" max="14849" width="9.109375" style="268"/>
    <col min="14850" max="14850" width="38.109375" style="268" customWidth="1"/>
    <col min="14851" max="14851" width="11.88671875" style="268" customWidth="1"/>
    <col min="14852" max="14852" width="10.5546875" style="268" customWidth="1"/>
    <col min="14853" max="14853" width="11" style="268" customWidth="1"/>
    <col min="14854" max="14856" width="10" style="268" bestFit="1" customWidth="1"/>
    <col min="14857" max="14857" width="11.44140625" style="268" bestFit="1" customWidth="1"/>
    <col min="14858" max="14859" width="9.109375" style="268"/>
    <col min="14860" max="14860" width="29.5546875" style="268" customWidth="1"/>
    <col min="14861" max="14861" width="10.109375" style="268" bestFit="1" customWidth="1"/>
    <col min="14862" max="15105" width="9.109375" style="268"/>
    <col min="15106" max="15106" width="38.109375" style="268" customWidth="1"/>
    <col min="15107" max="15107" width="11.88671875" style="268" customWidth="1"/>
    <col min="15108" max="15108" width="10.5546875" style="268" customWidth="1"/>
    <col min="15109" max="15109" width="11" style="268" customWidth="1"/>
    <col min="15110" max="15112" width="10" style="268" bestFit="1" customWidth="1"/>
    <col min="15113" max="15113" width="11.44140625" style="268" bestFit="1" customWidth="1"/>
    <col min="15114" max="15115" width="9.109375" style="268"/>
    <col min="15116" max="15116" width="29.5546875" style="268" customWidth="1"/>
    <col min="15117" max="15117" width="10.109375" style="268" bestFit="1" customWidth="1"/>
    <col min="15118" max="15361" width="9.109375" style="268"/>
    <col min="15362" max="15362" width="38.109375" style="268" customWidth="1"/>
    <col min="15363" max="15363" width="11.88671875" style="268" customWidth="1"/>
    <col min="15364" max="15364" width="10.5546875" style="268" customWidth="1"/>
    <col min="15365" max="15365" width="11" style="268" customWidth="1"/>
    <col min="15366" max="15368" width="10" style="268" bestFit="1" customWidth="1"/>
    <col min="15369" max="15369" width="11.44140625" style="268" bestFit="1" customWidth="1"/>
    <col min="15370" max="15371" width="9.109375" style="268"/>
    <col min="15372" max="15372" width="29.5546875" style="268" customWidth="1"/>
    <col min="15373" max="15373" width="10.109375" style="268" bestFit="1" customWidth="1"/>
    <col min="15374" max="15617" width="9.109375" style="268"/>
    <col min="15618" max="15618" width="38.109375" style="268" customWidth="1"/>
    <col min="15619" max="15619" width="11.88671875" style="268" customWidth="1"/>
    <col min="15620" max="15620" width="10.5546875" style="268" customWidth="1"/>
    <col min="15621" max="15621" width="11" style="268" customWidth="1"/>
    <col min="15622" max="15624" width="10" style="268" bestFit="1" customWidth="1"/>
    <col min="15625" max="15625" width="11.44140625" style="268" bestFit="1" customWidth="1"/>
    <col min="15626" max="15627" width="9.109375" style="268"/>
    <col min="15628" max="15628" width="29.5546875" style="268" customWidth="1"/>
    <col min="15629" max="15629" width="10.109375" style="268" bestFit="1" customWidth="1"/>
    <col min="15630" max="15873" width="9.109375" style="268"/>
    <col min="15874" max="15874" width="38.109375" style="268" customWidth="1"/>
    <col min="15875" max="15875" width="11.88671875" style="268" customWidth="1"/>
    <col min="15876" max="15876" width="10.5546875" style="268" customWidth="1"/>
    <col min="15877" max="15877" width="11" style="268" customWidth="1"/>
    <col min="15878" max="15880" width="10" style="268" bestFit="1" customWidth="1"/>
    <col min="15881" max="15881" width="11.44140625" style="268" bestFit="1" customWidth="1"/>
    <col min="15882" max="15883" width="9.109375" style="268"/>
    <col min="15884" max="15884" width="29.5546875" style="268" customWidth="1"/>
    <col min="15885" max="15885" width="10.109375" style="268" bestFit="1" customWidth="1"/>
    <col min="15886" max="16129" width="9.109375" style="268"/>
    <col min="16130" max="16130" width="38.109375" style="268" customWidth="1"/>
    <col min="16131" max="16131" width="11.88671875" style="268" customWidth="1"/>
    <col min="16132" max="16132" width="10.5546875" style="268" customWidth="1"/>
    <col min="16133" max="16133" width="11" style="268" customWidth="1"/>
    <col min="16134" max="16136" width="10" style="268" bestFit="1" customWidth="1"/>
    <col min="16137" max="16137" width="11.44140625" style="268" bestFit="1" customWidth="1"/>
    <col min="16138" max="16139" width="9.109375" style="268"/>
    <col min="16140" max="16140" width="29.5546875" style="268" customWidth="1"/>
    <col min="16141" max="16141" width="10.109375" style="268" bestFit="1" customWidth="1"/>
    <col min="16142" max="16384" width="9.109375" style="268"/>
  </cols>
  <sheetData>
    <row r="1" spans="1:13" x14ac:dyDescent="0.3">
      <c r="A1" s="267"/>
      <c r="I1" s="272" t="s">
        <v>61</v>
      </c>
      <c r="J1" s="267"/>
      <c r="K1" s="267"/>
      <c r="L1" s="269"/>
    </row>
    <row r="2" spans="1:13" ht="33" customHeight="1" x14ac:dyDescent="0.3">
      <c r="A2" s="287" t="s">
        <v>252</v>
      </c>
      <c r="B2" s="287"/>
      <c r="C2" s="287"/>
      <c r="D2" s="287"/>
      <c r="E2" s="287"/>
      <c r="F2" s="287"/>
      <c r="G2" s="287"/>
      <c r="H2" s="287"/>
      <c r="I2" s="287"/>
      <c r="J2" s="287"/>
      <c r="K2" s="287"/>
    </row>
    <row r="3" spans="1:13" ht="15.75" customHeight="1" x14ac:dyDescent="0.3">
      <c r="A3" s="288" t="s">
        <v>538</v>
      </c>
      <c r="B3" s="288"/>
      <c r="C3" s="288"/>
      <c r="D3" s="288"/>
      <c r="E3" s="288"/>
      <c r="F3" s="288"/>
      <c r="G3" s="288"/>
      <c r="H3" s="288"/>
      <c r="I3" s="288"/>
      <c r="J3" s="288"/>
      <c r="K3" s="288"/>
    </row>
    <row r="4" spans="1:13" x14ac:dyDescent="0.25">
      <c r="C4" s="270"/>
      <c r="F4" s="270"/>
      <c r="J4" s="289" t="s">
        <v>312</v>
      </c>
      <c r="K4" s="289"/>
    </row>
    <row r="5" spans="1:13" x14ac:dyDescent="0.3">
      <c r="A5" s="290" t="s">
        <v>2</v>
      </c>
      <c r="B5" s="290" t="s">
        <v>484</v>
      </c>
      <c r="C5" s="290" t="s">
        <v>488</v>
      </c>
      <c r="D5" s="290" t="s">
        <v>205</v>
      </c>
      <c r="E5" s="290"/>
      <c r="F5" s="290" t="s">
        <v>111</v>
      </c>
      <c r="G5" s="290" t="s">
        <v>205</v>
      </c>
      <c r="H5" s="290"/>
      <c r="I5" s="290" t="s">
        <v>112</v>
      </c>
      <c r="J5" s="290"/>
      <c r="K5" s="290"/>
    </row>
    <row r="6" spans="1:13" ht="52.95" customHeight="1" x14ac:dyDescent="0.3">
      <c r="A6" s="290"/>
      <c r="B6" s="290"/>
      <c r="C6" s="290"/>
      <c r="D6" s="179" t="s">
        <v>485</v>
      </c>
      <c r="E6" s="179" t="s">
        <v>486</v>
      </c>
      <c r="F6" s="290"/>
      <c r="G6" s="179" t="s">
        <v>485</v>
      </c>
      <c r="H6" s="179" t="s">
        <v>486</v>
      </c>
      <c r="I6" s="179" t="s">
        <v>208</v>
      </c>
      <c r="J6" s="179" t="s">
        <v>206</v>
      </c>
      <c r="K6" s="179" t="s">
        <v>207</v>
      </c>
    </row>
    <row r="7" spans="1:13" x14ac:dyDescent="0.3">
      <c r="A7" s="273" t="s">
        <v>7</v>
      </c>
      <c r="B7" s="273" t="s">
        <v>8</v>
      </c>
      <c r="C7" s="273" t="s">
        <v>62</v>
      </c>
      <c r="D7" s="273">
        <v>2</v>
      </c>
      <c r="E7" s="273">
        <v>3</v>
      </c>
      <c r="F7" s="273" t="s">
        <v>63</v>
      </c>
      <c r="G7" s="273">
        <v>5</v>
      </c>
      <c r="H7" s="273">
        <v>6</v>
      </c>
      <c r="I7" s="273" t="s">
        <v>64</v>
      </c>
      <c r="J7" s="273" t="s">
        <v>65</v>
      </c>
      <c r="K7" s="273" t="s">
        <v>66</v>
      </c>
    </row>
    <row r="8" spans="1:13" ht="19.2" customHeight="1" x14ac:dyDescent="0.3">
      <c r="A8" s="79"/>
      <c r="B8" s="79" t="s">
        <v>20</v>
      </c>
      <c r="C8" s="80">
        <f>C9+C30+C94</f>
        <v>8277847</v>
      </c>
      <c r="D8" s="80">
        <f>D9+D30+D94</f>
        <v>4472233.0010000002</v>
      </c>
      <c r="E8" s="80">
        <f>E9+E30+E94</f>
        <v>3805613.9989999998</v>
      </c>
      <c r="F8" s="80">
        <f>G8+H8</f>
        <v>10817727.622931</v>
      </c>
      <c r="G8" s="80">
        <f>G9+G30+G94+G95</f>
        <v>5729218.9770490006</v>
      </c>
      <c r="H8" s="80">
        <f>H9+H30+H94+H95</f>
        <v>5088508.6458820002</v>
      </c>
      <c r="I8" s="81">
        <f>IF(C8=0,0,F8/C8*100)</f>
        <v>130.68286503641588</v>
      </c>
      <c r="J8" s="81">
        <f>IF(D8=0,0,G8/D8*100)</f>
        <v>128.10645097802228</v>
      </c>
      <c r="K8" s="81">
        <f>IF(E8=0,0,H8/E8*100)</f>
        <v>133.71058250308903</v>
      </c>
      <c r="L8" s="270"/>
      <c r="M8" s="270"/>
    </row>
    <row r="9" spans="1:13" ht="27.6" x14ac:dyDescent="0.3">
      <c r="A9" s="82" t="s">
        <v>7</v>
      </c>
      <c r="B9" s="83" t="s">
        <v>272</v>
      </c>
      <c r="C9" s="76">
        <f>C10+C29</f>
        <v>6295073</v>
      </c>
      <c r="D9" s="76">
        <f t="shared" ref="D9:H9" si="0">D10+D29</f>
        <v>3102126.0010000002</v>
      </c>
      <c r="E9" s="76">
        <f t="shared" si="0"/>
        <v>3192946.9989999998</v>
      </c>
      <c r="F9" s="76">
        <f t="shared" si="0"/>
        <v>5893438.539979999</v>
      </c>
      <c r="G9" s="76">
        <f t="shared" si="0"/>
        <v>2177667.4051260003</v>
      </c>
      <c r="H9" s="76">
        <f t="shared" si="0"/>
        <v>3715771.1348539991</v>
      </c>
      <c r="I9" s="84">
        <f t="shared" ref="I9:K24" si="1">IF(C9=0,0,F9/C9*100)</f>
        <v>93.619860166514329</v>
      </c>
      <c r="J9" s="84">
        <f t="shared" si="1"/>
        <v>70.199192567420155</v>
      </c>
      <c r="K9" s="84">
        <f t="shared" si="1"/>
        <v>116.37434432885176</v>
      </c>
      <c r="L9" s="270"/>
    </row>
    <row r="10" spans="1:13" x14ac:dyDescent="0.3">
      <c r="A10" s="82" t="s">
        <v>273</v>
      </c>
      <c r="B10" s="83" t="s">
        <v>67</v>
      </c>
      <c r="C10" s="76">
        <f t="shared" ref="C10:H10" si="2">C11+C21+C25+C26+C27+C28</f>
        <v>6278973</v>
      </c>
      <c r="D10" s="76">
        <f t="shared" si="2"/>
        <v>3086026.0010000002</v>
      </c>
      <c r="E10" s="76">
        <f t="shared" si="2"/>
        <v>3192946.9989999998</v>
      </c>
      <c r="F10" s="76">
        <f t="shared" si="2"/>
        <v>5882726.3525759988</v>
      </c>
      <c r="G10" s="76">
        <f t="shared" si="2"/>
        <v>2166955.2177220001</v>
      </c>
      <c r="H10" s="76">
        <f t="shared" si="2"/>
        <v>3715771.1348539991</v>
      </c>
      <c r="I10" s="84">
        <f t="shared" si="1"/>
        <v>93.689307989953122</v>
      </c>
      <c r="J10" s="84">
        <f t="shared" si="1"/>
        <v>70.218307202201686</v>
      </c>
      <c r="K10" s="84">
        <f t="shared" si="1"/>
        <v>116.37434432885176</v>
      </c>
    </row>
    <row r="11" spans="1:13" x14ac:dyDescent="0.3">
      <c r="A11" s="82" t="s">
        <v>41</v>
      </c>
      <c r="B11" s="83" t="s">
        <v>23</v>
      </c>
      <c r="C11" s="85">
        <f>C12+C19+C20</f>
        <v>825372</v>
      </c>
      <c r="D11" s="85">
        <f>D12+D19+D20</f>
        <v>495589.00099999999</v>
      </c>
      <c r="E11" s="85">
        <f>C11-D11</f>
        <v>329782.99900000001</v>
      </c>
      <c r="F11" s="76">
        <f>G11+H11</f>
        <v>1228339.7171729999</v>
      </c>
      <c r="G11" s="86">
        <f>G12+G19+G20</f>
        <v>526179.54010899994</v>
      </c>
      <c r="H11" s="86">
        <f>H12+H19+H20</f>
        <v>702160.17706399981</v>
      </c>
      <c r="I11" s="84">
        <f t="shared" si="1"/>
        <v>148.82255724364285</v>
      </c>
      <c r="J11" s="84">
        <f t="shared" si="1"/>
        <v>106.17256215276657</v>
      </c>
      <c r="K11" s="84">
        <f t="shared" si="1"/>
        <v>212.91582015845512</v>
      </c>
    </row>
    <row r="12" spans="1:13" x14ac:dyDescent="0.3">
      <c r="A12" s="87">
        <v>1</v>
      </c>
      <c r="B12" s="78" t="s">
        <v>68</v>
      </c>
      <c r="C12" s="77">
        <f>825372-C19</f>
        <v>822528</v>
      </c>
      <c r="D12" s="77">
        <f>495589.001-D19</f>
        <v>492745.00099999999</v>
      </c>
      <c r="E12" s="77">
        <f>C12-D12</f>
        <v>329782.99900000001</v>
      </c>
      <c r="F12" s="88">
        <f>'[1]Bieu 51'!E11</f>
        <v>1220519.7125190001</v>
      </c>
      <c r="G12" s="89">
        <f>518359.240109+0.3</f>
        <v>518359.54010899999</v>
      </c>
      <c r="H12" s="89">
        <v>702160.17706399981</v>
      </c>
      <c r="I12" s="90">
        <f t="shared" si="1"/>
        <v>148.3864029575893</v>
      </c>
      <c r="J12" s="90">
        <f t="shared" si="1"/>
        <v>105.19833566185687</v>
      </c>
      <c r="K12" s="90">
        <f t="shared" si="1"/>
        <v>212.91582015845512</v>
      </c>
    </row>
    <row r="13" spans="1:13" x14ac:dyDescent="0.3">
      <c r="A13" s="87"/>
      <c r="B13" s="91" t="s">
        <v>487</v>
      </c>
      <c r="C13" s="77"/>
      <c r="D13" s="77"/>
      <c r="E13" s="77"/>
      <c r="F13" s="87"/>
      <c r="G13" s="89"/>
      <c r="H13" s="89"/>
      <c r="I13" s="90">
        <f t="shared" si="1"/>
        <v>0</v>
      </c>
      <c r="J13" s="90">
        <f t="shared" si="1"/>
        <v>0</v>
      </c>
      <c r="K13" s="90">
        <f t="shared" si="1"/>
        <v>0</v>
      </c>
    </row>
    <row r="14" spans="1:13" x14ac:dyDescent="0.3">
      <c r="A14" s="87" t="s">
        <v>12</v>
      </c>
      <c r="B14" s="91" t="s">
        <v>69</v>
      </c>
      <c r="C14" s="77">
        <f>D14+E14</f>
        <v>63797.473280999999</v>
      </c>
      <c r="D14" s="77">
        <v>8725.8109999999997</v>
      </c>
      <c r="E14" s="77">
        <f>'[1]Bieu 58_'!E10</f>
        <v>55071.662280999997</v>
      </c>
      <c r="F14" s="88">
        <f>G14+H14</f>
        <v>128744.078041</v>
      </c>
      <c r="G14" s="89">
        <v>15844.788999999999</v>
      </c>
      <c r="H14" s="89">
        <f>'[1]Bieu 58_'!R10</f>
        <v>112899.289041</v>
      </c>
      <c r="I14" s="90">
        <f t="shared" si="1"/>
        <v>201.8012178537833</v>
      </c>
      <c r="J14" s="90">
        <f t="shared" si="1"/>
        <v>181.58528760249334</v>
      </c>
      <c r="K14" s="90">
        <f t="shared" si="1"/>
        <v>205.0043241203395</v>
      </c>
    </row>
    <row r="15" spans="1:13" x14ac:dyDescent="0.3">
      <c r="A15" s="87" t="s">
        <v>12</v>
      </c>
      <c r="B15" s="91" t="s">
        <v>70</v>
      </c>
      <c r="C15" s="77">
        <v>22000</v>
      </c>
      <c r="D15" s="77">
        <v>22000</v>
      </c>
      <c r="E15" s="77">
        <f t="shared" ref="E15:E20" si="3">C15-D15</f>
        <v>0</v>
      </c>
      <c r="F15" s="88">
        <f>G15+H15</f>
        <v>16028.706697</v>
      </c>
      <c r="G15" s="89">
        <v>16026.487697</v>
      </c>
      <c r="H15" s="89">
        <f>'[1]Bieu 51'!E14-'[1]bieu 53'!G15</f>
        <v>2.2189999999991414</v>
      </c>
      <c r="I15" s="90">
        <f t="shared" si="1"/>
        <v>72.85775771363636</v>
      </c>
      <c r="J15" s="90">
        <f t="shared" si="1"/>
        <v>72.847671349999999</v>
      </c>
      <c r="K15" s="90">
        <f t="shared" si="1"/>
        <v>0</v>
      </c>
    </row>
    <row r="16" spans="1:13" x14ac:dyDescent="0.3">
      <c r="A16" s="87"/>
      <c r="B16" s="91" t="s">
        <v>209</v>
      </c>
      <c r="C16" s="77"/>
      <c r="D16" s="77"/>
      <c r="E16" s="77">
        <f t="shared" si="3"/>
        <v>0</v>
      </c>
      <c r="F16" s="87"/>
      <c r="G16" s="89"/>
      <c r="H16" s="89"/>
      <c r="I16" s="90">
        <f t="shared" si="1"/>
        <v>0</v>
      </c>
      <c r="J16" s="90">
        <f t="shared" si="1"/>
        <v>0</v>
      </c>
      <c r="K16" s="90">
        <f t="shared" si="1"/>
        <v>0</v>
      </c>
    </row>
    <row r="17" spans="1:12" x14ac:dyDescent="0.3">
      <c r="A17" s="87" t="s">
        <v>12</v>
      </c>
      <c r="B17" s="91" t="s">
        <v>71</v>
      </c>
      <c r="C17" s="77">
        <f>D17+E17</f>
        <v>197156</v>
      </c>
      <c r="D17" s="77">
        <f>68737-D19</f>
        <v>65893</v>
      </c>
      <c r="E17" s="77">
        <f>6127+125136</f>
        <v>131263</v>
      </c>
      <c r="F17" s="88">
        <f>G17+H17</f>
        <v>135531.02574900002</v>
      </c>
      <c r="G17" s="89">
        <v>135531.02574900002</v>
      </c>
      <c r="H17" s="89"/>
      <c r="I17" s="90">
        <f t="shared" si="1"/>
        <v>68.743038887479983</v>
      </c>
      <c r="J17" s="90">
        <f t="shared" si="1"/>
        <v>205.6834955898199</v>
      </c>
      <c r="K17" s="90">
        <f t="shared" si="1"/>
        <v>0</v>
      </c>
    </row>
    <row r="18" spans="1:12" x14ac:dyDescent="0.3">
      <c r="A18" s="87" t="s">
        <v>12</v>
      </c>
      <c r="B18" s="91" t="s">
        <v>72</v>
      </c>
      <c r="C18" s="77">
        <v>85000</v>
      </c>
      <c r="D18" s="77">
        <v>85000</v>
      </c>
      <c r="E18" s="77">
        <f t="shared" si="3"/>
        <v>0</v>
      </c>
      <c r="F18" s="88">
        <f>G18+H18</f>
        <v>100844.6722</v>
      </c>
      <c r="G18" s="89">
        <v>100844.6722</v>
      </c>
      <c r="H18" s="89"/>
      <c r="I18" s="90">
        <f t="shared" si="1"/>
        <v>118.64079082352941</v>
      </c>
      <c r="J18" s="90">
        <f t="shared" si="1"/>
        <v>118.64079082352941</v>
      </c>
      <c r="K18" s="90">
        <f t="shared" si="1"/>
        <v>0</v>
      </c>
    </row>
    <row r="19" spans="1:12" ht="69" x14ac:dyDescent="0.3">
      <c r="A19" s="87">
        <v>2</v>
      </c>
      <c r="B19" s="78" t="s">
        <v>210</v>
      </c>
      <c r="C19" s="92">
        <f>D19+E19</f>
        <v>2844</v>
      </c>
      <c r="D19" s="92">
        <f>'[1]bieu 52'!C27</f>
        <v>2844</v>
      </c>
      <c r="E19" s="77"/>
      <c r="F19" s="92">
        <f>G19+H19</f>
        <v>7820</v>
      </c>
      <c r="G19" s="92">
        <v>7820</v>
      </c>
      <c r="H19" s="92"/>
      <c r="I19" s="90">
        <f t="shared" si="1"/>
        <v>274.9648382559775</v>
      </c>
      <c r="J19" s="90">
        <f t="shared" si="1"/>
        <v>274.9648382559775</v>
      </c>
      <c r="K19" s="90">
        <f t="shared" si="1"/>
        <v>0</v>
      </c>
    </row>
    <row r="20" spans="1:12" x14ac:dyDescent="0.3">
      <c r="A20" s="87">
        <v>3</v>
      </c>
      <c r="B20" s="78" t="s">
        <v>73</v>
      </c>
      <c r="C20" s="92">
        <v>0</v>
      </c>
      <c r="D20" s="92">
        <v>0</v>
      </c>
      <c r="E20" s="77">
        <f t="shared" si="3"/>
        <v>0</v>
      </c>
      <c r="F20" s="92"/>
      <c r="G20" s="92"/>
      <c r="H20" s="92"/>
      <c r="I20" s="90">
        <f t="shared" si="1"/>
        <v>0</v>
      </c>
      <c r="J20" s="90">
        <f t="shared" si="1"/>
        <v>0</v>
      </c>
      <c r="K20" s="90">
        <f t="shared" si="1"/>
        <v>0</v>
      </c>
    </row>
    <row r="21" spans="1:12" s="267" customFormat="1" x14ac:dyDescent="0.3">
      <c r="A21" s="82" t="s">
        <v>27</v>
      </c>
      <c r="B21" s="83" t="s">
        <v>24</v>
      </c>
      <c r="C21" s="85">
        <v>4445685</v>
      </c>
      <c r="D21" s="85">
        <v>1641206</v>
      </c>
      <c r="E21" s="85">
        <f>C21-D21</f>
        <v>2804479</v>
      </c>
      <c r="F21" s="85">
        <f>G21+H21</f>
        <v>4579953.3867929997</v>
      </c>
      <c r="G21" s="85">
        <f>1880184.894839-G38-'[1]Bieu 61_'!V13</f>
        <v>1566342.429003</v>
      </c>
      <c r="H21" s="85">
        <f>'[1]Bieu 51'!E20-'[1]bieu 53'!G21</f>
        <v>3013610.9577899994</v>
      </c>
      <c r="I21" s="84">
        <f t="shared" si="1"/>
        <v>103.02019569072031</v>
      </c>
      <c r="J21" s="84">
        <f t="shared" si="1"/>
        <v>95.438502479457171</v>
      </c>
      <c r="K21" s="84">
        <f t="shared" si="1"/>
        <v>107.45706984398882</v>
      </c>
    </row>
    <row r="22" spans="1:12" x14ac:dyDescent="0.3">
      <c r="A22" s="87"/>
      <c r="B22" s="91" t="s">
        <v>74</v>
      </c>
      <c r="C22" s="92"/>
      <c r="D22" s="92"/>
      <c r="E22" s="92"/>
      <c r="F22" s="92"/>
      <c r="G22" s="92"/>
      <c r="H22" s="92"/>
      <c r="I22" s="90">
        <f t="shared" si="1"/>
        <v>0</v>
      </c>
      <c r="J22" s="90">
        <f t="shared" si="1"/>
        <v>0</v>
      </c>
      <c r="K22" s="90">
        <f t="shared" si="1"/>
        <v>0</v>
      </c>
      <c r="L22" s="270"/>
    </row>
    <row r="23" spans="1:12" x14ac:dyDescent="0.3">
      <c r="A23" s="87">
        <v>1</v>
      </c>
      <c r="B23" s="91" t="s">
        <v>69</v>
      </c>
      <c r="C23" s="92">
        <v>1963710</v>
      </c>
      <c r="D23" s="92">
        <v>380322</v>
      </c>
      <c r="E23" s="92">
        <f t="shared" ref="E23:E28" si="4">C23-D23</f>
        <v>1583388</v>
      </c>
      <c r="F23" s="88">
        <f>G23+H23</f>
        <v>1945476.5538330001</v>
      </c>
      <c r="G23" s="92">
        <f>407229.413322-G48-G49-G50-G53-G58-G59-G88</f>
        <v>363930.52732200007</v>
      </c>
      <c r="H23" s="92">
        <f>1633938.272761-H48-H49-H50-H53-H58-H59-H88</f>
        <v>1581546.026511</v>
      </c>
      <c r="I23" s="90">
        <f t="shared" si="1"/>
        <v>99.071479690636608</v>
      </c>
      <c r="J23" s="90">
        <f t="shared" si="1"/>
        <v>95.690106625964333</v>
      </c>
      <c r="K23" s="90">
        <f t="shared" si="1"/>
        <v>99.88366884875974</v>
      </c>
    </row>
    <row r="24" spans="1:12" x14ac:dyDescent="0.3">
      <c r="A24" s="87">
        <v>2</v>
      </c>
      <c r="B24" s="91" t="s">
        <v>70</v>
      </c>
      <c r="C24" s="92">
        <v>16390</v>
      </c>
      <c r="D24" s="92">
        <v>14890</v>
      </c>
      <c r="E24" s="92">
        <f t="shared" si="4"/>
        <v>1500</v>
      </c>
      <c r="F24" s="88">
        <f>G24+H24</f>
        <v>11706.385414</v>
      </c>
      <c r="G24" s="92">
        <v>10369.584934</v>
      </c>
      <c r="H24" s="92">
        <f>'[1]Bieu 51'!E23-'[1]bieu 53'!G24</f>
        <v>1336.8004799999999</v>
      </c>
      <c r="I24" s="90">
        <f t="shared" si="1"/>
        <v>71.423950054911529</v>
      </c>
      <c r="J24" s="90">
        <f t="shared" si="1"/>
        <v>69.641268865010076</v>
      </c>
      <c r="K24" s="90">
        <f t="shared" si="1"/>
        <v>89.120031999999995</v>
      </c>
    </row>
    <row r="25" spans="1:12" s="267" customFormat="1" ht="27.6" x14ac:dyDescent="0.3">
      <c r="A25" s="82" t="s">
        <v>31</v>
      </c>
      <c r="B25" s="83" t="s">
        <v>259</v>
      </c>
      <c r="C25" s="85">
        <v>1300</v>
      </c>
      <c r="D25" s="85">
        <v>1300</v>
      </c>
      <c r="E25" s="85">
        <f t="shared" si="4"/>
        <v>0</v>
      </c>
      <c r="F25" s="85">
        <f>G25+H25</f>
        <v>18520.929</v>
      </c>
      <c r="G25" s="85">
        <v>18520.929</v>
      </c>
      <c r="H25" s="85"/>
      <c r="I25" s="84">
        <f t="shared" ref="I25:K88" si="5">IF(C25=0,0,F25/C25*100)</f>
        <v>1424.6868461538461</v>
      </c>
      <c r="J25" s="84">
        <f t="shared" si="5"/>
        <v>1424.6868461538461</v>
      </c>
      <c r="K25" s="84">
        <f t="shared" si="5"/>
        <v>0</v>
      </c>
      <c r="L25" s="271"/>
    </row>
    <row r="26" spans="1:12" s="267" customFormat="1" x14ac:dyDescent="0.3">
      <c r="A26" s="82" t="s">
        <v>58</v>
      </c>
      <c r="B26" s="83" t="s">
        <v>25</v>
      </c>
      <c r="C26" s="85">
        <v>1000</v>
      </c>
      <c r="D26" s="85">
        <v>1000</v>
      </c>
      <c r="E26" s="85">
        <f t="shared" si="4"/>
        <v>0</v>
      </c>
      <c r="F26" s="85">
        <f>G26+H26</f>
        <v>1000</v>
      </c>
      <c r="G26" s="85">
        <v>1000</v>
      </c>
      <c r="H26" s="85"/>
      <c r="I26" s="84">
        <f t="shared" si="5"/>
        <v>100</v>
      </c>
      <c r="J26" s="84">
        <f t="shared" si="5"/>
        <v>100</v>
      </c>
      <c r="K26" s="84">
        <f t="shared" si="5"/>
        <v>0</v>
      </c>
    </row>
    <row r="27" spans="1:12" s="267" customFormat="1" x14ac:dyDescent="0.3">
      <c r="A27" s="82" t="s">
        <v>75</v>
      </c>
      <c r="B27" s="83" t="s">
        <v>26</v>
      </c>
      <c r="C27" s="85">
        <v>125616</v>
      </c>
      <c r="D27" s="85">
        <v>66931</v>
      </c>
      <c r="E27" s="85">
        <f t="shared" si="4"/>
        <v>58685</v>
      </c>
      <c r="F27" s="85"/>
      <c r="G27" s="85"/>
      <c r="H27" s="85"/>
      <c r="I27" s="84">
        <f t="shared" si="5"/>
        <v>0</v>
      </c>
      <c r="J27" s="84">
        <f t="shared" si="5"/>
        <v>0</v>
      </c>
      <c r="K27" s="84">
        <f t="shared" si="5"/>
        <v>0</v>
      </c>
    </row>
    <row r="28" spans="1:12" s="267" customFormat="1" ht="41.4" x14ac:dyDescent="0.3">
      <c r="A28" s="82" t="s">
        <v>76</v>
      </c>
      <c r="B28" s="83" t="s">
        <v>274</v>
      </c>
      <c r="C28" s="85">
        <v>880000</v>
      </c>
      <c r="D28" s="85">
        <v>880000</v>
      </c>
      <c r="E28" s="85">
        <f t="shared" si="4"/>
        <v>0</v>
      </c>
      <c r="F28" s="93">
        <f>G28+H28</f>
        <v>54912.319609999999</v>
      </c>
      <c r="G28" s="94">
        <v>54912.319609999999</v>
      </c>
      <c r="H28" s="94"/>
      <c r="I28" s="84">
        <f t="shared" si="5"/>
        <v>6.2400363193181816</v>
      </c>
      <c r="J28" s="84">
        <f t="shared" si="5"/>
        <v>6.2400363193181816</v>
      </c>
      <c r="K28" s="84">
        <f t="shared" si="5"/>
        <v>0</v>
      </c>
    </row>
    <row r="29" spans="1:12" s="267" customFormat="1" x14ac:dyDescent="0.3">
      <c r="A29" s="82" t="s">
        <v>275</v>
      </c>
      <c r="B29" s="83" t="s">
        <v>276</v>
      </c>
      <c r="C29" s="76">
        <f>D29+E29</f>
        <v>16100</v>
      </c>
      <c r="D29" s="76">
        <v>16100</v>
      </c>
      <c r="E29" s="76"/>
      <c r="F29" s="93">
        <f>G29+H29</f>
        <v>10712.187403999998</v>
      </c>
      <c r="G29" s="94">
        <v>10712.187403999998</v>
      </c>
      <c r="H29" s="94"/>
      <c r="I29" s="84">
        <f t="shared" si="5"/>
        <v>66.535325490683221</v>
      </c>
      <c r="J29" s="84">
        <f t="shared" si="5"/>
        <v>66.535325490683221</v>
      </c>
      <c r="K29" s="84">
        <f t="shared" si="5"/>
        <v>0</v>
      </c>
    </row>
    <row r="30" spans="1:12" x14ac:dyDescent="0.3">
      <c r="A30" s="82" t="s">
        <v>8</v>
      </c>
      <c r="B30" s="83" t="s">
        <v>77</v>
      </c>
      <c r="C30" s="85">
        <f>C31+C34</f>
        <v>1982774</v>
      </c>
      <c r="D30" s="85">
        <f>D31+D34</f>
        <v>1370107</v>
      </c>
      <c r="E30" s="85">
        <f>C30-D30</f>
        <v>612667</v>
      </c>
      <c r="F30" s="85">
        <f>F31+F34</f>
        <v>2122371.7836420001</v>
      </c>
      <c r="G30" s="85">
        <f>G31+G34</f>
        <v>1507032.0366229999</v>
      </c>
      <c r="H30" s="85">
        <f>H31+H34</f>
        <v>615339.747019</v>
      </c>
      <c r="I30" s="84">
        <f t="shared" si="5"/>
        <v>107.04052926062172</v>
      </c>
      <c r="J30" s="84">
        <f t="shared" si="5"/>
        <v>109.99374768707845</v>
      </c>
      <c r="K30" s="84">
        <f t="shared" si="5"/>
        <v>100.43624791591516</v>
      </c>
      <c r="L30" s="270"/>
    </row>
    <row r="31" spans="1:12" x14ac:dyDescent="0.3">
      <c r="A31" s="82" t="s">
        <v>41</v>
      </c>
      <c r="B31" s="83" t="s">
        <v>29</v>
      </c>
      <c r="C31" s="85">
        <f>D31+E31</f>
        <v>661008</v>
      </c>
      <c r="D31" s="85">
        <f>'[1]Bieu 61_'!C13</f>
        <v>156888</v>
      </c>
      <c r="E31" s="85">
        <f>'[1]Bieu 61_'!C35</f>
        <v>504120</v>
      </c>
      <c r="F31" s="85">
        <f>F32+F33</f>
        <v>690045.38341300003</v>
      </c>
      <c r="G31" s="85">
        <f>G32+G33</f>
        <v>165821.893644</v>
      </c>
      <c r="H31" s="85">
        <f>H32+H33</f>
        <v>524223.48976899998</v>
      </c>
      <c r="I31" s="84">
        <f t="shared" si="5"/>
        <v>104.39289439961392</v>
      </c>
      <c r="J31" s="84">
        <f t="shared" si="5"/>
        <v>105.69444039314671</v>
      </c>
      <c r="K31" s="84">
        <f t="shared" si="5"/>
        <v>103.98783816730143</v>
      </c>
    </row>
    <row r="32" spans="1:12" x14ac:dyDescent="0.3">
      <c r="A32" s="87">
        <v>1</v>
      </c>
      <c r="B32" s="78" t="s">
        <v>211</v>
      </c>
      <c r="C32" s="92">
        <f>D32+E32</f>
        <v>372490</v>
      </c>
      <c r="D32" s="92">
        <f>'[1]Bieu 61_'!M13</f>
        <v>9990</v>
      </c>
      <c r="E32" s="92">
        <f>'[1]Bieu 61_'!M35</f>
        <v>362500</v>
      </c>
      <c r="F32" s="92">
        <f>G32+H32</f>
        <v>373067.46099400002</v>
      </c>
      <c r="G32" s="92">
        <f>'[1]Bieu 61_Hien vo'!AD13</f>
        <v>5657.8178740000003</v>
      </c>
      <c r="H32" s="92">
        <f>'[1]Bieu 61_'!AD35</f>
        <v>367409.64312000002</v>
      </c>
      <c r="I32" s="90">
        <f t="shared" si="5"/>
        <v>100.1550272474429</v>
      </c>
      <c r="J32" s="90">
        <f t="shared" si="5"/>
        <v>56.634813553553556</v>
      </c>
      <c r="K32" s="90">
        <f t="shared" si="5"/>
        <v>101.35438430896554</v>
      </c>
    </row>
    <row r="33" spans="1:13" x14ac:dyDescent="0.3">
      <c r="A33" s="87">
        <v>2</v>
      </c>
      <c r="B33" s="78" t="s">
        <v>212</v>
      </c>
      <c r="C33" s="92">
        <f>D33+E33</f>
        <v>288518</v>
      </c>
      <c r="D33" s="92">
        <f>'[1]Bieu 61_'!F13</f>
        <v>146898</v>
      </c>
      <c r="E33" s="92">
        <f>'[1]Bieu 61_'!F35</f>
        <v>141620</v>
      </c>
      <c r="F33" s="92">
        <f>G33+H33</f>
        <v>316977.92241899995</v>
      </c>
      <c r="G33" s="92">
        <f>'[1]Bieu 61_'!W13</f>
        <v>160164.07577</v>
      </c>
      <c r="H33" s="92">
        <f>'[1]Bieu 61_'!W35</f>
        <v>156813.84664899998</v>
      </c>
      <c r="I33" s="90">
        <f t="shared" si="5"/>
        <v>109.86417569059815</v>
      </c>
      <c r="J33" s="90">
        <f t="shared" si="5"/>
        <v>109.03080761480754</v>
      </c>
      <c r="K33" s="90">
        <f t="shared" si="5"/>
        <v>110.72860235065667</v>
      </c>
    </row>
    <row r="34" spans="1:13" x14ac:dyDescent="0.3">
      <c r="A34" s="82" t="s">
        <v>27</v>
      </c>
      <c r="B34" s="83" t="s">
        <v>213</v>
      </c>
      <c r="C34" s="85">
        <f t="shared" ref="C34:H34" si="6">C35+C38</f>
        <v>1321766</v>
      </c>
      <c r="D34" s="85">
        <f t="shared" si="6"/>
        <v>1213219</v>
      </c>
      <c r="E34" s="85">
        <f t="shared" si="6"/>
        <v>108547</v>
      </c>
      <c r="F34" s="85">
        <f t="shared" si="6"/>
        <v>1432326.400229</v>
      </c>
      <c r="G34" s="85">
        <f t="shared" si="6"/>
        <v>1341210.142979</v>
      </c>
      <c r="H34" s="85">
        <f t="shared" si="6"/>
        <v>91116.257249999995</v>
      </c>
      <c r="I34" s="84">
        <f t="shared" si="5"/>
        <v>108.36459707913504</v>
      </c>
      <c r="J34" s="84">
        <f t="shared" si="5"/>
        <v>110.54971468292206</v>
      </c>
      <c r="K34" s="84">
        <f t="shared" si="5"/>
        <v>83.941755414705142</v>
      </c>
    </row>
    <row r="35" spans="1:13" x14ac:dyDescent="0.3">
      <c r="A35" s="82" t="s">
        <v>214</v>
      </c>
      <c r="B35" s="83" t="s">
        <v>215</v>
      </c>
      <c r="C35" s="85">
        <f>C36+C37</f>
        <v>756675</v>
      </c>
      <c r="D35" s="85">
        <f>D36+D37</f>
        <v>756675</v>
      </c>
      <c r="E35" s="85">
        <f>C35-D35</f>
        <v>0</v>
      </c>
      <c r="F35" s="85">
        <f>F36+F37</f>
        <v>1039194.495017</v>
      </c>
      <c r="G35" s="85">
        <f>G36+G37</f>
        <v>1039194.495017</v>
      </c>
      <c r="H35" s="85">
        <f>H36+H37</f>
        <v>0</v>
      </c>
      <c r="I35" s="84">
        <f t="shared" si="5"/>
        <v>137.33696699600225</v>
      </c>
      <c r="J35" s="84">
        <f t="shared" si="5"/>
        <v>137.33696699600225</v>
      </c>
      <c r="K35" s="84">
        <f t="shared" si="5"/>
        <v>0</v>
      </c>
    </row>
    <row r="36" spans="1:13" x14ac:dyDescent="0.3">
      <c r="A36" s="87">
        <v>1</v>
      </c>
      <c r="B36" s="78" t="s">
        <v>151</v>
      </c>
      <c r="C36" s="92">
        <f>D36+E36</f>
        <v>319125</v>
      </c>
      <c r="D36" s="92">
        <v>319125</v>
      </c>
      <c r="E36" s="92"/>
      <c r="F36" s="92">
        <f>G36+H36</f>
        <v>241926.61581300001</v>
      </c>
      <c r="G36" s="92">
        <v>241926.61581300001</v>
      </c>
      <c r="H36" s="92"/>
      <c r="I36" s="90">
        <f t="shared" si="5"/>
        <v>75.809358656639247</v>
      </c>
      <c r="J36" s="90">
        <f t="shared" si="5"/>
        <v>75.809358656639247</v>
      </c>
      <c r="K36" s="90">
        <f t="shared" si="5"/>
        <v>0</v>
      </c>
    </row>
    <row r="37" spans="1:13" x14ac:dyDescent="0.3">
      <c r="A37" s="87">
        <v>2</v>
      </c>
      <c r="B37" s="78" t="s">
        <v>130</v>
      </c>
      <c r="C37" s="92">
        <f>D37+E37</f>
        <v>437550</v>
      </c>
      <c r="D37" s="92">
        <v>437550</v>
      </c>
      <c r="E37" s="92"/>
      <c r="F37" s="92">
        <f>G37+H37</f>
        <v>797267.879204</v>
      </c>
      <c r="G37" s="92">
        <v>797267.879204</v>
      </c>
      <c r="H37" s="92"/>
      <c r="I37" s="90">
        <f t="shared" si="5"/>
        <v>182.21183389418351</v>
      </c>
      <c r="J37" s="90">
        <f t="shared" si="5"/>
        <v>182.21183389418351</v>
      </c>
      <c r="K37" s="90">
        <f t="shared" si="5"/>
        <v>0</v>
      </c>
    </row>
    <row r="38" spans="1:13" x14ac:dyDescent="0.3">
      <c r="A38" s="82" t="s">
        <v>216</v>
      </c>
      <c r="B38" s="83" t="s">
        <v>217</v>
      </c>
      <c r="C38" s="85">
        <f>C39+C46</f>
        <v>565091</v>
      </c>
      <c r="D38" s="85">
        <f>D39+D46</f>
        <v>456544</v>
      </c>
      <c r="E38" s="85">
        <f>C38-D38</f>
        <v>108547</v>
      </c>
      <c r="F38" s="85">
        <f>F39+F46</f>
        <v>393131.90521200001</v>
      </c>
      <c r="G38" s="85">
        <f>G39+G46</f>
        <v>302015.64796199999</v>
      </c>
      <c r="H38" s="85">
        <f>H39+H46</f>
        <v>91116.257249999995</v>
      </c>
      <c r="I38" s="84">
        <f t="shared" si="5"/>
        <v>69.569663153722146</v>
      </c>
      <c r="J38" s="84">
        <f t="shared" si="5"/>
        <v>66.152582875254083</v>
      </c>
      <c r="K38" s="84">
        <f t="shared" si="5"/>
        <v>83.941755414705142</v>
      </c>
    </row>
    <row r="39" spans="1:13" x14ac:dyDescent="0.3">
      <c r="A39" s="87">
        <v>1</v>
      </c>
      <c r="B39" s="78" t="s">
        <v>131</v>
      </c>
      <c r="C39" s="92">
        <f t="shared" ref="C39:H39" si="7">SUM(C40:C45)</f>
        <v>149330</v>
      </c>
      <c r="D39" s="92">
        <f t="shared" si="7"/>
        <v>149330</v>
      </c>
      <c r="E39" s="92">
        <f t="shared" si="7"/>
        <v>0</v>
      </c>
      <c r="F39" s="92">
        <f t="shared" si="7"/>
        <v>24303.637935999999</v>
      </c>
      <c r="G39" s="92">
        <f t="shared" si="7"/>
        <v>24303.637935999999</v>
      </c>
      <c r="H39" s="92">
        <f t="shared" si="7"/>
        <v>0</v>
      </c>
      <c r="I39" s="90">
        <f t="shared" si="5"/>
        <v>16.275120830375677</v>
      </c>
      <c r="J39" s="90">
        <f t="shared" si="5"/>
        <v>16.275120830375677</v>
      </c>
      <c r="K39" s="90">
        <f t="shared" si="5"/>
        <v>0</v>
      </c>
    </row>
    <row r="40" spans="1:13" ht="55.2" x14ac:dyDescent="0.3">
      <c r="A40" s="87" t="s">
        <v>277</v>
      </c>
      <c r="B40" s="78" t="s">
        <v>278</v>
      </c>
      <c r="C40" s="92">
        <f t="shared" ref="C40:C45" si="8">D40+E40</f>
        <v>4315</v>
      </c>
      <c r="D40" s="92">
        <v>4315</v>
      </c>
      <c r="E40" s="92"/>
      <c r="F40" s="92">
        <f t="shared" ref="F40:F45" si="9">G40+H40</f>
        <v>4006.0955359999998</v>
      </c>
      <c r="G40" s="92">
        <v>4006.0955359999998</v>
      </c>
      <c r="H40" s="92"/>
      <c r="I40" s="90">
        <f t="shared" si="5"/>
        <v>92.841147995365006</v>
      </c>
      <c r="J40" s="90">
        <f t="shared" si="5"/>
        <v>92.841147995365006</v>
      </c>
      <c r="K40" s="90">
        <f t="shared" si="5"/>
        <v>0</v>
      </c>
    </row>
    <row r="41" spans="1:13" ht="55.2" x14ac:dyDescent="0.3">
      <c r="A41" s="87" t="s">
        <v>277</v>
      </c>
      <c r="B41" s="78" t="s">
        <v>279</v>
      </c>
      <c r="C41" s="92">
        <f t="shared" si="8"/>
        <v>4177</v>
      </c>
      <c r="D41" s="92">
        <v>4177</v>
      </c>
      <c r="E41" s="92"/>
      <c r="F41" s="92">
        <f t="shared" si="9"/>
        <v>806.97299999999996</v>
      </c>
      <c r="G41" s="92">
        <v>806.97299999999996</v>
      </c>
      <c r="H41" s="92"/>
      <c r="I41" s="90">
        <f t="shared" si="5"/>
        <v>19.31943978932248</v>
      </c>
      <c r="J41" s="90">
        <f t="shared" si="5"/>
        <v>19.31943978932248</v>
      </c>
      <c r="K41" s="90">
        <f t="shared" si="5"/>
        <v>0</v>
      </c>
    </row>
    <row r="42" spans="1:13" ht="55.2" x14ac:dyDescent="0.3">
      <c r="A42" s="87" t="s">
        <v>277</v>
      </c>
      <c r="B42" s="78" t="s">
        <v>280</v>
      </c>
      <c r="C42" s="92">
        <f t="shared" si="8"/>
        <v>2657</v>
      </c>
      <c r="D42" s="92">
        <v>2657</v>
      </c>
      <c r="E42" s="92"/>
      <c r="F42" s="92">
        <f t="shared" si="9"/>
        <v>557.74054000000001</v>
      </c>
      <c r="G42" s="92">
        <v>557.74054000000001</v>
      </c>
      <c r="H42" s="92"/>
      <c r="I42" s="90">
        <f t="shared" si="5"/>
        <v>20.99136394429808</v>
      </c>
      <c r="J42" s="90">
        <f t="shared" si="5"/>
        <v>20.99136394429808</v>
      </c>
      <c r="K42" s="90">
        <f t="shared" si="5"/>
        <v>0</v>
      </c>
    </row>
    <row r="43" spans="1:13" ht="69" x14ac:dyDescent="0.3">
      <c r="A43" s="87" t="s">
        <v>277</v>
      </c>
      <c r="B43" s="78" t="s">
        <v>281</v>
      </c>
      <c r="C43" s="92">
        <f t="shared" si="8"/>
        <v>4000</v>
      </c>
      <c r="D43" s="92">
        <v>4000</v>
      </c>
      <c r="E43" s="92"/>
      <c r="F43" s="92">
        <f t="shared" si="9"/>
        <v>3644.002</v>
      </c>
      <c r="G43" s="92">
        <v>3644.002</v>
      </c>
      <c r="H43" s="92"/>
      <c r="I43" s="90">
        <f t="shared" si="5"/>
        <v>91.100049999999996</v>
      </c>
      <c r="J43" s="90">
        <f t="shared" si="5"/>
        <v>91.100049999999996</v>
      </c>
      <c r="K43" s="90">
        <f t="shared" si="5"/>
        <v>0</v>
      </c>
    </row>
    <row r="44" spans="1:13" ht="55.2" x14ac:dyDescent="0.3">
      <c r="A44" s="87" t="s">
        <v>277</v>
      </c>
      <c r="B44" s="78" t="s">
        <v>282</v>
      </c>
      <c r="C44" s="92">
        <f t="shared" si="8"/>
        <v>16000</v>
      </c>
      <c r="D44" s="92">
        <v>16000</v>
      </c>
      <c r="E44" s="92"/>
      <c r="F44" s="92">
        <f t="shared" si="9"/>
        <v>15288.826859999999</v>
      </c>
      <c r="G44" s="92">
        <v>15288.826859999999</v>
      </c>
      <c r="H44" s="92"/>
      <c r="I44" s="90">
        <f t="shared" si="5"/>
        <v>95.555167874999995</v>
      </c>
      <c r="J44" s="90">
        <f t="shared" si="5"/>
        <v>95.555167874999995</v>
      </c>
      <c r="K44" s="90">
        <f t="shared" si="5"/>
        <v>0</v>
      </c>
    </row>
    <row r="45" spans="1:13" x14ac:dyDescent="0.3">
      <c r="A45" s="87" t="s">
        <v>277</v>
      </c>
      <c r="B45" s="78" t="s">
        <v>283</v>
      </c>
      <c r="C45" s="92">
        <f t="shared" si="8"/>
        <v>118181</v>
      </c>
      <c r="D45" s="92">
        <v>118181</v>
      </c>
      <c r="E45" s="92"/>
      <c r="F45" s="92">
        <f t="shared" si="9"/>
        <v>0</v>
      </c>
      <c r="G45" s="92"/>
      <c r="H45" s="92"/>
      <c r="I45" s="90">
        <f t="shared" si="5"/>
        <v>0</v>
      </c>
      <c r="J45" s="90">
        <f t="shared" si="5"/>
        <v>0</v>
      </c>
      <c r="K45" s="90">
        <f t="shared" si="5"/>
        <v>0</v>
      </c>
    </row>
    <row r="46" spans="1:13" x14ac:dyDescent="0.3">
      <c r="A46" s="87">
        <v>2</v>
      </c>
      <c r="B46" s="78" t="s">
        <v>130</v>
      </c>
      <c r="C46" s="92">
        <f t="shared" ref="C46:H46" si="10">C47+C48+C49+C50+C53+C57+C61+C62+C63+C68+C73+C74+C75+C76+C77+C78+C81+C91+C92+C93</f>
        <v>415761</v>
      </c>
      <c r="D46" s="92">
        <f t="shared" si="10"/>
        <v>307214</v>
      </c>
      <c r="E46" s="92">
        <f t="shared" si="10"/>
        <v>108547</v>
      </c>
      <c r="F46" s="92">
        <f>F47+F48+F49+F50+F53+F57+F61+F62+F63+F68+F73+F74+F75+F76+F77+F78+F81+F91+F92+F93</f>
        <v>368828.267276</v>
      </c>
      <c r="G46" s="92">
        <f t="shared" si="10"/>
        <v>277712.01002599997</v>
      </c>
      <c r="H46" s="92">
        <f t="shared" si="10"/>
        <v>91116.257249999995</v>
      </c>
      <c r="I46" s="90">
        <f t="shared" si="5"/>
        <v>88.711607696729615</v>
      </c>
      <c r="J46" s="90">
        <f t="shared" si="5"/>
        <v>90.396925278795877</v>
      </c>
      <c r="K46" s="90">
        <f t="shared" si="5"/>
        <v>83.941755414705142</v>
      </c>
      <c r="L46" s="270"/>
      <c r="M46" s="270"/>
    </row>
    <row r="47" spans="1:13" ht="27.6" x14ac:dyDescent="0.3">
      <c r="A47" s="87" t="s">
        <v>12</v>
      </c>
      <c r="B47" s="78" t="s">
        <v>218</v>
      </c>
      <c r="C47" s="92">
        <v>570</v>
      </c>
      <c r="D47" s="92">
        <v>570</v>
      </c>
      <c r="E47" s="92">
        <f>C47-D47</f>
        <v>0</v>
      </c>
      <c r="F47" s="92">
        <f>G47+H47</f>
        <v>570</v>
      </c>
      <c r="G47" s="92">
        <v>570</v>
      </c>
      <c r="H47" s="92"/>
      <c r="I47" s="90">
        <f t="shared" si="5"/>
        <v>100</v>
      </c>
      <c r="J47" s="90">
        <f t="shared" si="5"/>
        <v>100</v>
      </c>
      <c r="K47" s="90">
        <f t="shared" si="5"/>
        <v>0</v>
      </c>
    </row>
    <row r="48" spans="1:13" ht="27.6" x14ac:dyDescent="0.3">
      <c r="A48" s="87" t="s">
        <v>12</v>
      </c>
      <c r="B48" s="78" t="s">
        <v>219</v>
      </c>
      <c r="C48" s="92">
        <f>D48+E48</f>
        <v>39102</v>
      </c>
      <c r="D48" s="92">
        <v>3688</v>
      </c>
      <c r="E48" s="92">
        <v>35414</v>
      </c>
      <c r="F48" s="92">
        <f>G48+H48</f>
        <v>23999.11075</v>
      </c>
      <c r="G48" s="92">
        <v>2690.3710000000001</v>
      </c>
      <c r="H48" s="92">
        <v>21308.739750000001</v>
      </c>
      <c r="I48" s="90">
        <f t="shared" si="5"/>
        <v>61.375660452150782</v>
      </c>
      <c r="J48" s="90">
        <f t="shared" si="5"/>
        <v>72.949322125813453</v>
      </c>
      <c r="K48" s="90">
        <f t="shared" si="5"/>
        <v>60.170383887728022</v>
      </c>
    </row>
    <row r="49" spans="1:11" ht="41.4" x14ac:dyDescent="0.3">
      <c r="A49" s="87" t="s">
        <v>12</v>
      </c>
      <c r="B49" s="78" t="s">
        <v>220</v>
      </c>
      <c r="C49" s="92">
        <v>28852</v>
      </c>
      <c r="D49" s="92">
        <v>0</v>
      </c>
      <c r="E49" s="92">
        <f>C49-D49</f>
        <v>28852</v>
      </c>
      <c r="F49" s="92">
        <f>G49+H49</f>
        <v>25375.298999999999</v>
      </c>
      <c r="G49" s="92"/>
      <c r="H49" s="92">
        <v>25375.298999999999</v>
      </c>
      <c r="I49" s="90">
        <f t="shared" si="5"/>
        <v>87.949878691251911</v>
      </c>
      <c r="J49" s="90">
        <f t="shared" si="5"/>
        <v>0</v>
      </c>
      <c r="K49" s="90">
        <f t="shared" si="5"/>
        <v>87.949878691251911</v>
      </c>
    </row>
    <row r="50" spans="1:11" ht="55.2" x14ac:dyDescent="0.3">
      <c r="A50" s="87" t="s">
        <v>12</v>
      </c>
      <c r="B50" s="78" t="s">
        <v>284</v>
      </c>
      <c r="C50" s="92">
        <f t="shared" ref="C50:H50" si="11">C51+C52</f>
        <v>3696</v>
      </c>
      <c r="D50" s="92">
        <f t="shared" si="11"/>
        <v>2331</v>
      </c>
      <c r="E50" s="92">
        <f t="shared" si="11"/>
        <v>1365</v>
      </c>
      <c r="F50" s="92">
        <f t="shared" si="11"/>
        <v>1666.9675000000002</v>
      </c>
      <c r="G50" s="92">
        <f t="shared" si="11"/>
        <v>551.30000000000007</v>
      </c>
      <c r="H50" s="92">
        <f t="shared" si="11"/>
        <v>1115.6675</v>
      </c>
      <c r="I50" s="90">
        <f t="shared" si="5"/>
        <v>45.101934523809526</v>
      </c>
      <c r="J50" s="90">
        <f t="shared" si="5"/>
        <v>23.650793650793652</v>
      </c>
      <c r="K50" s="90">
        <f t="shared" si="5"/>
        <v>81.733882783882777</v>
      </c>
    </row>
    <row r="51" spans="1:11" ht="41.4" hidden="1" outlineLevel="1" x14ac:dyDescent="0.3">
      <c r="A51" s="87" t="s">
        <v>148</v>
      </c>
      <c r="B51" s="78" t="s">
        <v>285</v>
      </c>
      <c r="C51" s="92">
        <f>D51+E51</f>
        <v>291</v>
      </c>
      <c r="D51" s="92">
        <v>291</v>
      </c>
      <c r="E51" s="92"/>
      <c r="F51" s="92">
        <f>G51+H51</f>
        <v>0</v>
      </c>
      <c r="G51" s="92"/>
      <c r="H51" s="92"/>
      <c r="I51" s="84">
        <f t="shared" si="5"/>
        <v>0</v>
      </c>
      <c r="J51" s="84">
        <f t="shared" si="5"/>
        <v>0</v>
      </c>
      <c r="K51" s="84">
        <f t="shared" si="5"/>
        <v>0</v>
      </c>
    </row>
    <row r="52" spans="1:11" ht="27.6" hidden="1" outlineLevel="1" x14ac:dyDescent="0.3">
      <c r="A52" s="87" t="s">
        <v>148</v>
      </c>
      <c r="B52" s="78" t="s">
        <v>286</v>
      </c>
      <c r="C52" s="92">
        <f>D52+E52</f>
        <v>3405</v>
      </c>
      <c r="D52" s="92">
        <v>2040</v>
      </c>
      <c r="E52" s="92">
        <v>1365</v>
      </c>
      <c r="F52" s="92">
        <f>G52+H52</f>
        <v>1666.9675000000002</v>
      </c>
      <c r="G52" s="92">
        <v>551.30000000000007</v>
      </c>
      <c r="H52" s="92">
        <v>1115.6675</v>
      </c>
      <c r="I52" s="90">
        <f t="shared" si="5"/>
        <v>48.956461086637304</v>
      </c>
      <c r="J52" s="90">
        <f t="shared" si="5"/>
        <v>27.024509803921571</v>
      </c>
      <c r="K52" s="90">
        <f t="shared" si="5"/>
        <v>81.733882783882777</v>
      </c>
    </row>
    <row r="53" spans="1:11" ht="82.8" collapsed="1" x14ac:dyDescent="0.3">
      <c r="A53" s="87" t="s">
        <v>12</v>
      </c>
      <c r="B53" s="78" t="s">
        <v>221</v>
      </c>
      <c r="C53" s="92">
        <f t="shared" ref="C53:H53" si="12">C54+C55+C56</f>
        <v>15596</v>
      </c>
      <c r="D53" s="92">
        <f t="shared" si="12"/>
        <v>14081</v>
      </c>
      <c r="E53" s="92">
        <f t="shared" si="12"/>
        <v>1515</v>
      </c>
      <c r="F53" s="92">
        <f>F54+F55+F56</f>
        <v>10339.678</v>
      </c>
      <c r="G53" s="92">
        <f t="shared" si="12"/>
        <v>8824.6779999999999</v>
      </c>
      <c r="H53" s="92">
        <f t="shared" si="12"/>
        <v>1515</v>
      </c>
      <c r="I53" s="90">
        <f t="shared" si="5"/>
        <v>66.296986406770969</v>
      </c>
      <c r="J53" s="90">
        <f t="shared" si="5"/>
        <v>62.670818833889641</v>
      </c>
      <c r="K53" s="90">
        <f t="shared" si="5"/>
        <v>100</v>
      </c>
    </row>
    <row r="54" spans="1:11" hidden="1" outlineLevel="1" x14ac:dyDescent="0.3">
      <c r="A54" s="87" t="s">
        <v>148</v>
      </c>
      <c r="B54" s="78" t="s">
        <v>222</v>
      </c>
      <c r="C54" s="92">
        <f>D54+E54</f>
        <v>6526</v>
      </c>
      <c r="D54" s="92">
        <v>6526</v>
      </c>
      <c r="E54" s="92"/>
      <c r="F54" s="92">
        <f>G54+H54</f>
        <v>6526</v>
      </c>
      <c r="G54" s="92">
        <v>6526</v>
      </c>
      <c r="H54" s="92"/>
      <c r="I54" s="90">
        <f t="shared" si="5"/>
        <v>100</v>
      </c>
      <c r="J54" s="90">
        <f t="shared" si="5"/>
        <v>100</v>
      </c>
      <c r="K54" s="90">
        <f t="shared" si="5"/>
        <v>0</v>
      </c>
    </row>
    <row r="55" spans="1:11" ht="27.6" hidden="1" outlineLevel="1" x14ac:dyDescent="0.3">
      <c r="A55" s="87" t="s">
        <v>148</v>
      </c>
      <c r="B55" s="78" t="s">
        <v>223</v>
      </c>
      <c r="C55" s="92">
        <f>D55+E55</f>
        <v>1515</v>
      </c>
      <c r="D55" s="92"/>
      <c r="E55" s="92">
        <v>1515</v>
      </c>
      <c r="F55" s="92">
        <f>G55+H55</f>
        <v>1515</v>
      </c>
      <c r="G55" s="92"/>
      <c r="H55" s="92">
        <v>1515</v>
      </c>
      <c r="I55" s="90">
        <f t="shared" si="5"/>
        <v>100</v>
      </c>
      <c r="J55" s="90">
        <f t="shared" si="5"/>
        <v>0</v>
      </c>
      <c r="K55" s="90">
        <f t="shared" si="5"/>
        <v>100</v>
      </c>
    </row>
    <row r="56" spans="1:11" ht="27.6" hidden="1" outlineLevel="1" x14ac:dyDescent="0.3">
      <c r="A56" s="87" t="s">
        <v>148</v>
      </c>
      <c r="B56" s="78" t="s">
        <v>224</v>
      </c>
      <c r="C56" s="92">
        <f>D56+E56</f>
        <v>7555</v>
      </c>
      <c r="D56" s="92">
        <v>7555</v>
      </c>
      <c r="E56" s="92"/>
      <c r="F56" s="92">
        <f>G56+H56</f>
        <v>2298.6779999999999</v>
      </c>
      <c r="G56" s="92">
        <v>2298.6779999999999</v>
      </c>
      <c r="H56" s="92"/>
      <c r="I56" s="90">
        <f t="shared" si="5"/>
        <v>30.425916611515554</v>
      </c>
      <c r="J56" s="90">
        <f t="shared" si="5"/>
        <v>30.425916611515554</v>
      </c>
      <c r="K56" s="90">
        <f t="shared" si="5"/>
        <v>0</v>
      </c>
    </row>
    <row r="57" spans="1:11" ht="55.2" collapsed="1" x14ac:dyDescent="0.3">
      <c r="A57" s="87" t="s">
        <v>12</v>
      </c>
      <c r="B57" s="78" t="s">
        <v>287</v>
      </c>
      <c r="C57" s="92">
        <v>3408</v>
      </c>
      <c r="D57" s="92">
        <v>3408</v>
      </c>
      <c r="E57" s="92">
        <f t="shared" ref="E57:E62" si="13">C57-D57</f>
        <v>0</v>
      </c>
      <c r="F57" s="92">
        <f>F58+F59+F60</f>
        <v>4842.0769999999993</v>
      </c>
      <c r="G57" s="92">
        <f>G58+G59+G60</f>
        <v>1764.537</v>
      </c>
      <c r="H57" s="92">
        <f>H58+H59+H60</f>
        <v>3077.5399999999995</v>
      </c>
      <c r="I57" s="90">
        <f t="shared" si="5"/>
        <v>142.07972417840372</v>
      </c>
      <c r="J57" s="90">
        <f t="shared" si="5"/>
        <v>51.776320422535214</v>
      </c>
      <c r="K57" s="90">
        <f t="shared" si="5"/>
        <v>0</v>
      </c>
    </row>
    <row r="58" spans="1:11" ht="27.6" hidden="1" outlineLevel="1" x14ac:dyDescent="0.3">
      <c r="A58" s="87" t="s">
        <v>148</v>
      </c>
      <c r="B58" s="78" t="s">
        <v>225</v>
      </c>
      <c r="C58" s="92">
        <v>1840</v>
      </c>
      <c r="D58" s="92">
        <v>1840</v>
      </c>
      <c r="E58" s="92">
        <f t="shared" si="13"/>
        <v>0</v>
      </c>
      <c r="F58" s="92">
        <f>G58+H58</f>
        <v>759.649</v>
      </c>
      <c r="G58" s="92">
        <v>759.649</v>
      </c>
      <c r="H58" s="92"/>
      <c r="I58" s="90">
        <f t="shared" si="5"/>
        <v>41.285271739130437</v>
      </c>
      <c r="J58" s="90">
        <f t="shared" si="5"/>
        <v>41.285271739130437</v>
      </c>
      <c r="K58" s="90">
        <f t="shared" si="5"/>
        <v>0</v>
      </c>
    </row>
    <row r="59" spans="1:11" ht="27.6" hidden="1" outlineLevel="1" x14ac:dyDescent="0.3">
      <c r="A59" s="87" t="s">
        <v>148</v>
      </c>
      <c r="B59" s="78" t="s">
        <v>226</v>
      </c>
      <c r="C59" s="92">
        <v>1288</v>
      </c>
      <c r="D59" s="92">
        <v>1288</v>
      </c>
      <c r="E59" s="92">
        <f t="shared" si="13"/>
        <v>0</v>
      </c>
      <c r="F59" s="92">
        <f>G59+H59</f>
        <v>3802.4279999999994</v>
      </c>
      <c r="G59" s="92">
        <v>724.88800000000003</v>
      </c>
      <c r="H59" s="92">
        <v>3077.5399999999995</v>
      </c>
      <c r="I59" s="90">
        <f t="shared" si="5"/>
        <v>295.21956521739128</v>
      </c>
      <c r="J59" s="90">
        <f t="shared" si="5"/>
        <v>56.280124223602492</v>
      </c>
      <c r="K59" s="90">
        <f t="shared" si="5"/>
        <v>0</v>
      </c>
    </row>
    <row r="60" spans="1:11" ht="27.6" hidden="1" outlineLevel="1" x14ac:dyDescent="0.3">
      <c r="A60" s="87" t="s">
        <v>148</v>
      </c>
      <c r="B60" s="78" t="s">
        <v>227</v>
      </c>
      <c r="C60" s="92">
        <v>280</v>
      </c>
      <c r="D60" s="92">
        <v>280</v>
      </c>
      <c r="E60" s="92">
        <f t="shared" si="13"/>
        <v>0</v>
      </c>
      <c r="F60" s="92">
        <f>G60+H60</f>
        <v>280</v>
      </c>
      <c r="G60" s="92">
        <v>280</v>
      </c>
      <c r="H60" s="92"/>
      <c r="I60" s="90">
        <f t="shared" si="5"/>
        <v>100</v>
      </c>
      <c r="J60" s="90">
        <f t="shared" si="5"/>
        <v>100</v>
      </c>
      <c r="K60" s="90">
        <f t="shared" si="5"/>
        <v>0</v>
      </c>
    </row>
    <row r="61" spans="1:11" ht="55.2" collapsed="1" x14ac:dyDescent="0.3">
      <c r="A61" s="87" t="s">
        <v>12</v>
      </c>
      <c r="B61" s="78" t="s">
        <v>228</v>
      </c>
      <c r="C61" s="92">
        <v>83651</v>
      </c>
      <c r="D61" s="92">
        <v>83651</v>
      </c>
      <c r="E61" s="92">
        <f t="shared" si="13"/>
        <v>0</v>
      </c>
      <c r="F61" s="92">
        <f>G61+H61</f>
        <v>83651</v>
      </c>
      <c r="G61" s="92">
        <v>83651</v>
      </c>
      <c r="H61" s="92"/>
      <c r="I61" s="90">
        <f t="shared" si="5"/>
        <v>100</v>
      </c>
      <c r="J61" s="90">
        <f t="shared" si="5"/>
        <v>100</v>
      </c>
      <c r="K61" s="90">
        <f t="shared" si="5"/>
        <v>0</v>
      </c>
    </row>
    <row r="62" spans="1:11" ht="27.6" x14ac:dyDescent="0.3">
      <c r="A62" s="87" t="s">
        <v>12</v>
      </c>
      <c r="B62" s="78" t="s">
        <v>229</v>
      </c>
      <c r="C62" s="92">
        <v>11957</v>
      </c>
      <c r="D62" s="92">
        <v>11957</v>
      </c>
      <c r="E62" s="92">
        <f t="shared" si="13"/>
        <v>0</v>
      </c>
      <c r="F62" s="92">
        <f>G62+H62</f>
        <v>11957</v>
      </c>
      <c r="G62" s="92">
        <v>11957</v>
      </c>
      <c r="H62" s="92"/>
      <c r="I62" s="90">
        <f t="shared" si="5"/>
        <v>100</v>
      </c>
      <c r="J62" s="90">
        <f t="shared" si="5"/>
        <v>100</v>
      </c>
      <c r="K62" s="90">
        <f t="shared" si="5"/>
        <v>0</v>
      </c>
    </row>
    <row r="63" spans="1:11" ht="82.8" x14ac:dyDescent="0.3">
      <c r="A63" s="87" t="s">
        <v>12</v>
      </c>
      <c r="B63" s="78" t="s">
        <v>288</v>
      </c>
      <c r="C63" s="92">
        <f t="shared" ref="C63:H63" si="14">C64+C65+C66+C67</f>
        <v>14532</v>
      </c>
      <c r="D63" s="92">
        <f t="shared" si="14"/>
        <v>11506</v>
      </c>
      <c r="E63" s="92">
        <f t="shared" si="14"/>
        <v>3026</v>
      </c>
      <c r="F63" s="92">
        <f t="shared" si="14"/>
        <v>10546.560000000001</v>
      </c>
      <c r="G63" s="92">
        <f t="shared" si="14"/>
        <v>7712</v>
      </c>
      <c r="H63" s="92">
        <f t="shared" si="14"/>
        <v>2834.5600000000004</v>
      </c>
      <c r="I63" s="90">
        <f t="shared" si="5"/>
        <v>72.574731626754769</v>
      </c>
      <c r="J63" s="90">
        <f t="shared" si="5"/>
        <v>67.025899530679638</v>
      </c>
      <c r="K63" s="90">
        <f t="shared" si="5"/>
        <v>93.673496364838087</v>
      </c>
    </row>
    <row r="64" spans="1:11" ht="41.4" hidden="1" outlineLevel="1" x14ac:dyDescent="0.3">
      <c r="A64" s="95" t="s">
        <v>148</v>
      </c>
      <c r="B64" s="78" t="s">
        <v>230</v>
      </c>
      <c r="C64" s="92">
        <v>1765</v>
      </c>
      <c r="D64" s="92"/>
      <c r="E64" s="92">
        <f>C64-D64</f>
        <v>1765</v>
      </c>
      <c r="F64" s="92">
        <f>G64+H64</f>
        <v>1714.3400000000001</v>
      </c>
      <c r="G64" s="92"/>
      <c r="H64" s="92">
        <v>1714.3400000000001</v>
      </c>
      <c r="I64" s="90">
        <f t="shared" si="5"/>
        <v>97.129745042492914</v>
      </c>
      <c r="J64" s="90">
        <f t="shared" si="5"/>
        <v>0</v>
      </c>
      <c r="K64" s="90">
        <f t="shared" si="5"/>
        <v>97.129745042492914</v>
      </c>
    </row>
    <row r="65" spans="1:11" ht="27.6" hidden="1" outlineLevel="1" x14ac:dyDescent="0.3">
      <c r="A65" s="95" t="s">
        <v>148</v>
      </c>
      <c r="B65" s="78" t="s">
        <v>231</v>
      </c>
      <c r="C65" s="92">
        <v>1411</v>
      </c>
      <c r="D65" s="92">
        <v>150</v>
      </c>
      <c r="E65" s="92">
        <f>C65-D65</f>
        <v>1261</v>
      </c>
      <c r="F65" s="92">
        <f>G65+H65</f>
        <v>1245.22</v>
      </c>
      <c r="G65" s="92">
        <v>125</v>
      </c>
      <c r="H65" s="92">
        <v>1120.22</v>
      </c>
      <c r="I65" s="90">
        <f t="shared" si="5"/>
        <v>88.250885896527294</v>
      </c>
      <c r="J65" s="90">
        <f t="shared" si="5"/>
        <v>83.333333333333343</v>
      </c>
      <c r="K65" s="90">
        <f t="shared" si="5"/>
        <v>88.835844567803335</v>
      </c>
    </row>
    <row r="66" spans="1:11" ht="41.4" hidden="1" outlineLevel="1" x14ac:dyDescent="0.3">
      <c r="A66" s="95" t="s">
        <v>148</v>
      </c>
      <c r="B66" s="78" t="s">
        <v>232</v>
      </c>
      <c r="C66" s="92">
        <v>4335</v>
      </c>
      <c r="D66" s="92">
        <v>4335</v>
      </c>
      <c r="E66" s="92">
        <f>C66-D66</f>
        <v>0</v>
      </c>
      <c r="F66" s="92">
        <f>G66+H66</f>
        <v>4335</v>
      </c>
      <c r="G66" s="92">
        <v>4335</v>
      </c>
      <c r="H66" s="92"/>
      <c r="I66" s="90">
        <f t="shared" si="5"/>
        <v>100</v>
      </c>
      <c r="J66" s="90">
        <f t="shared" si="5"/>
        <v>100</v>
      </c>
      <c r="K66" s="90">
        <f t="shared" si="5"/>
        <v>0</v>
      </c>
    </row>
    <row r="67" spans="1:11" ht="55.2" hidden="1" outlineLevel="1" x14ac:dyDescent="0.3">
      <c r="A67" s="95" t="s">
        <v>148</v>
      </c>
      <c r="B67" s="78" t="s">
        <v>289</v>
      </c>
      <c r="C67" s="92">
        <v>7021</v>
      </c>
      <c r="D67" s="92">
        <v>7021</v>
      </c>
      <c r="E67" s="92">
        <f>C67-D67</f>
        <v>0</v>
      </c>
      <c r="F67" s="92">
        <f>G67+H67</f>
        <v>3252</v>
      </c>
      <c r="G67" s="92">
        <v>3252</v>
      </c>
      <c r="H67" s="92"/>
      <c r="I67" s="90">
        <f t="shared" si="5"/>
        <v>46.318188292266058</v>
      </c>
      <c r="J67" s="90">
        <f t="shared" si="5"/>
        <v>46.318188292266058</v>
      </c>
      <c r="K67" s="90">
        <f t="shared" si="5"/>
        <v>0</v>
      </c>
    </row>
    <row r="68" spans="1:11" ht="110.4" collapsed="1" x14ac:dyDescent="0.3">
      <c r="A68" s="95" t="s">
        <v>12</v>
      </c>
      <c r="B68" s="96" t="s">
        <v>290</v>
      </c>
      <c r="C68" s="92">
        <f t="shared" ref="C68:H68" si="15">C69+C70+C71+C72</f>
        <v>46969</v>
      </c>
      <c r="D68" s="92">
        <f t="shared" si="15"/>
        <v>20229</v>
      </c>
      <c r="E68" s="92">
        <f t="shared" si="15"/>
        <v>26740</v>
      </c>
      <c r="F68" s="92">
        <f t="shared" si="15"/>
        <v>41447.550999999999</v>
      </c>
      <c r="G68" s="92">
        <f t="shared" si="15"/>
        <v>17117.899999999998</v>
      </c>
      <c r="H68" s="92">
        <f t="shared" si="15"/>
        <v>24329.651000000002</v>
      </c>
      <c r="I68" s="90">
        <f t="shared" si="5"/>
        <v>88.24448253103111</v>
      </c>
      <c r="J68" s="90">
        <f t="shared" si="5"/>
        <v>84.620594196450625</v>
      </c>
      <c r="K68" s="90">
        <f t="shared" si="5"/>
        <v>90.985979805534782</v>
      </c>
    </row>
    <row r="69" spans="1:11" ht="27.6" hidden="1" outlineLevel="1" x14ac:dyDescent="0.3">
      <c r="A69" s="87" t="s">
        <v>148</v>
      </c>
      <c r="B69" s="78" t="s">
        <v>233</v>
      </c>
      <c r="C69" s="92">
        <v>12694</v>
      </c>
      <c r="D69" s="92">
        <v>940</v>
      </c>
      <c r="E69" s="92">
        <f t="shared" ref="E69:E88" si="16">C69-D69</f>
        <v>11754</v>
      </c>
      <c r="F69" s="92">
        <f t="shared" ref="F69:F77" si="17">G69+H69</f>
        <v>12573.79</v>
      </c>
      <c r="G69" s="92">
        <v>835</v>
      </c>
      <c r="H69" s="92">
        <v>11738.79</v>
      </c>
      <c r="I69" s="90">
        <f t="shared" si="5"/>
        <v>99.053017173467779</v>
      </c>
      <c r="J69" s="90">
        <f t="shared" si="5"/>
        <v>88.829787234042556</v>
      </c>
      <c r="K69" s="90">
        <f t="shared" si="5"/>
        <v>99.870597243491588</v>
      </c>
    </row>
    <row r="70" spans="1:11" ht="27.6" hidden="1" outlineLevel="1" x14ac:dyDescent="0.3">
      <c r="A70" s="87" t="s">
        <v>148</v>
      </c>
      <c r="B70" s="78" t="s">
        <v>234</v>
      </c>
      <c r="C70" s="92">
        <v>14041</v>
      </c>
      <c r="D70" s="92">
        <v>0</v>
      </c>
      <c r="E70" s="92">
        <f t="shared" si="16"/>
        <v>14041</v>
      </c>
      <c r="F70" s="92">
        <f t="shared" si="17"/>
        <v>11615.861000000001</v>
      </c>
      <c r="G70" s="92"/>
      <c r="H70" s="92">
        <v>11615.861000000001</v>
      </c>
      <c r="I70" s="90">
        <f t="shared" si="5"/>
        <v>82.728160387436802</v>
      </c>
      <c r="J70" s="90">
        <f t="shared" si="5"/>
        <v>0</v>
      </c>
      <c r="K70" s="90">
        <f t="shared" si="5"/>
        <v>82.728160387436802</v>
      </c>
    </row>
    <row r="71" spans="1:11" ht="27.6" hidden="1" outlineLevel="1" x14ac:dyDescent="0.3">
      <c r="A71" s="87" t="s">
        <v>148</v>
      </c>
      <c r="B71" s="78" t="s">
        <v>235</v>
      </c>
      <c r="C71" s="92">
        <v>1487</v>
      </c>
      <c r="D71" s="92">
        <v>542</v>
      </c>
      <c r="E71" s="92">
        <f t="shared" si="16"/>
        <v>945</v>
      </c>
      <c r="F71" s="92">
        <f t="shared" si="17"/>
        <v>2005</v>
      </c>
      <c r="G71" s="92">
        <v>1030</v>
      </c>
      <c r="H71" s="92">
        <v>975</v>
      </c>
      <c r="I71" s="90">
        <f t="shared" si="5"/>
        <v>134.83523873570948</v>
      </c>
      <c r="J71" s="90">
        <f t="shared" si="5"/>
        <v>190.03690036900369</v>
      </c>
      <c r="K71" s="90">
        <f t="shared" si="5"/>
        <v>103.17460317460319</v>
      </c>
    </row>
    <row r="72" spans="1:11" ht="27.6" hidden="1" outlineLevel="1" x14ac:dyDescent="0.3">
      <c r="A72" s="87" t="s">
        <v>148</v>
      </c>
      <c r="B72" s="78" t="s">
        <v>236</v>
      </c>
      <c r="C72" s="92">
        <v>18747</v>
      </c>
      <c r="D72" s="92">
        <v>18747</v>
      </c>
      <c r="E72" s="92">
        <f t="shared" si="16"/>
        <v>0</v>
      </c>
      <c r="F72" s="92">
        <f t="shared" si="17"/>
        <v>15252.899999999998</v>
      </c>
      <c r="G72" s="92">
        <v>15252.899999999998</v>
      </c>
      <c r="H72" s="92"/>
      <c r="I72" s="90">
        <f t="shared" si="5"/>
        <v>81.361817890862525</v>
      </c>
      <c r="J72" s="90">
        <f t="shared" si="5"/>
        <v>81.361817890862525</v>
      </c>
      <c r="K72" s="90">
        <f t="shared" si="5"/>
        <v>0</v>
      </c>
    </row>
    <row r="73" spans="1:11" ht="41.4" collapsed="1" x14ac:dyDescent="0.3">
      <c r="A73" s="95" t="s">
        <v>12</v>
      </c>
      <c r="B73" s="78" t="s">
        <v>291</v>
      </c>
      <c r="C73" s="92">
        <v>10215</v>
      </c>
      <c r="D73" s="92">
        <v>10215</v>
      </c>
      <c r="E73" s="92">
        <f t="shared" si="16"/>
        <v>0</v>
      </c>
      <c r="F73" s="92">
        <f t="shared" si="17"/>
        <v>7752.9</v>
      </c>
      <c r="G73" s="92">
        <v>7752.9</v>
      </c>
      <c r="H73" s="92"/>
      <c r="I73" s="90">
        <f t="shared" si="5"/>
        <v>75.897209985315712</v>
      </c>
      <c r="J73" s="90">
        <f t="shared" si="5"/>
        <v>75.897209985315712</v>
      </c>
      <c r="K73" s="90">
        <f t="shared" si="5"/>
        <v>0</v>
      </c>
    </row>
    <row r="74" spans="1:11" x14ac:dyDescent="0.3">
      <c r="A74" s="95" t="s">
        <v>12</v>
      </c>
      <c r="B74" s="78" t="s">
        <v>237</v>
      </c>
      <c r="C74" s="92">
        <v>4796</v>
      </c>
      <c r="D74" s="92">
        <v>2145</v>
      </c>
      <c r="E74" s="92">
        <f t="shared" si="16"/>
        <v>2651</v>
      </c>
      <c r="F74" s="92">
        <f t="shared" si="17"/>
        <v>4124.8029999999999</v>
      </c>
      <c r="G74" s="92">
        <v>2145</v>
      </c>
      <c r="H74" s="92">
        <v>1979.8030000000001</v>
      </c>
      <c r="I74" s="90">
        <f t="shared" si="5"/>
        <v>86.005066722268552</v>
      </c>
      <c r="J74" s="90">
        <f t="shared" si="5"/>
        <v>100</v>
      </c>
      <c r="K74" s="90">
        <f t="shared" si="5"/>
        <v>74.681365522444366</v>
      </c>
    </row>
    <row r="75" spans="1:11" ht="27.6" x14ac:dyDescent="0.3">
      <c r="A75" s="95" t="s">
        <v>12</v>
      </c>
      <c r="B75" s="78" t="s">
        <v>292</v>
      </c>
      <c r="C75" s="92">
        <v>1800</v>
      </c>
      <c r="D75" s="92">
        <v>1800</v>
      </c>
      <c r="E75" s="92">
        <f t="shared" si="16"/>
        <v>0</v>
      </c>
      <c r="F75" s="92">
        <f t="shared" si="17"/>
        <v>1800</v>
      </c>
      <c r="G75" s="92">
        <v>1800</v>
      </c>
      <c r="H75" s="92"/>
      <c r="I75" s="90">
        <f t="shared" si="5"/>
        <v>100</v>
      </c>
      <c r="J75" s="90">
        <f t="shared" si="5"/>
        <v>100</v>
      </c>
      <c r="K75" s="90">
        <f t="shared" si="5"/>
        <v>0</v>
      </c>
    </row>
    <row r="76" spans="1:11" ht="27.6" x14ac:dyDescent="0.3">
      <c r="A76" s="95" t="s">
        <v>12</v>
      </c>
      <c r="B76" s="78" t="s">
        <v>238</v>
      </c>
      <c r="C76" s="92">
        <v>9555</v>
      </c>
      <c r="D76" s="92">
        <v>8600</v>
      </c>
      <c r="E76" s="92">
        <f t="shared" si="16"/>
        <v>955</v>
      </c>
      <c r="F76" s="92">
        <f t="shared" si="17"/>
        <v>9171.42</v>
      </c>
      <c r="G76" s="92">
        <v>8231</v>
      </c>
      <c r="H76" s="92">
        <v>940.42</v>
      </c>
      <c r="I76" s="90">
        <f t="shared" si="5"/>
        <v>95.985557299843009</v>
      </c>
      <c r="J76" s="90">
        <f t="shared" si="5"/>
        <v>95.70930232558139</v>
      </c>
      <c r="K76" s="90">
        <f t="shared" si="5"/>
        <v>98.473298429319371</v>
      </c>
    </row>
    <row r="77" spans="1:11" x14ac:dyDescent="0.3">
      <c r="A77" s="95" t="s">
        <v>12</v>
      </c>
      <c r="B77" s="78" t="s">
        <v>293</v>
      </c>
      <c r="C77" s="92">
        <v>44194</v>
      </c>
      <c r="D77" s="92">
        <v>44194</v>
      </c>
      <c r="E77" s="92">
        <f t="shared" si="16"/>
        <v>0</v>
      </c>
      <c r="F77" s="92">
        <f t="shared" si="17"/>
        <v>43643</v>
      </c>
      <c r="G77" s="92">
        <v>43643</v>
      </c>
      <c r="H77" s="92"/>
      <c r="I77" s="90">
        <f t="shared" si="5"/>
        <v>98.753224419604464</v>
      </c>
      <c r="J77" s="90">
        <f t="shared" si="5"/>
        <v>98.753224419604464</v>
      </c>
      <c r="K77" s="90">
        <f t="shared" si="5"/>
        <v>0</v>
      </c>
    </row>
    <row r="78" spans="1:11" ht="41.4" x14ac:dyDescent="0.3">
      <c r="A78" s="95" t="s">
        <v>12</v>
      </c>
      <c r="B78" s="78" t="s">
        <v>294</v>
      </c>
      <c r="C78" s="92">
        <f t="shared" ref="C78:H78" si="18">C79+C80</f>
        <v>5430</v>
      </c>
      <c r="D78" s="92">
        <f t="shared" si="18"/>
        <v>1612</v>
      </c>
      <c r="E78" s="92">
        <f t="shared" si="18"/>
        <v>3818</v>
      </c>
      <c r="F78" s="92">
        <f t="shared" si="18"/>
        <v>5397.9989999999998</v>
      </c>
      <c r="G78" s="92">
        <f t="shared" si="18"/>
        <v>1612</v>
      </c>
      <c r="H78" s="92">
        <f t="shared" si="18"/>
        <v>3785.9989999999998</v>
      </c>
      <c r="I78" s="90">
        <f t="shared" si="5"/>
        <v>99.410662983425411</v>
      </c>
      <c r="J78" s="90">
        <f t="shared" si="5"/>
        <v>100</v>
      </c>
      <c r="K78" s="90">
        <f t="shared" si="5"/>
        <v>99.161838658983754</v>
      </c>
    </row>
    <row r="79" spans="1:11" ht="41.4" hidden="1" outlineLevel="1" x14ac:dyDescent="0.3">
      <c r="A79" s="87" t="s">
        <v>148</v>
      </c>
      <c r="B79" s="78" t="s">
        <v>239</v>
      </c>
      <c r="C79" s="92">
        <v>3818</v>
      </c>
      <c r="D79" s="92">
        <v>0</v>
      </c>
      <c r="E79" s="92">
        <f t="shared" si="16"/>
        <v>3818</v>
      </c>
      <c r="F79" s="92">
        <f>G79+H79</f>
        <v>3785.9989999999998</v>
      </c>
      <c r="G79" s="92"/>
      <c r="H79" s="92">
        <v>3785.9989999999998</v>
      </c>
      <c r="I79" s="90">
        <f t="shared" si="5"/>
        <v>99.161838658983754</v>
      </c>
      <c r="J79" s="90">
        <f t="shared" si="5"/>
        <v>0</v>
      </c>
      <c r="K79" s="90">
        <f t="shared" si="5"/>
        <v>99.161838658983754</v>
      </c>
    </row>
    <row r="80" spans="1:11" ht="41.4" hidden="1" outlineLevel="1" x14ac:dyDescent="0.3">
      <c r="A80" s="87" t="s">
        <v>148</v>
      </c>
      <c r="B80" s="78" t="s">
        <v>240</v>
      </c>
      <c r="C80" s="92">
        <v>1612</v>
      </c>
      <c r="D80" s="92">
        <v>1612</v>
      </c>
      <c r="E80" s="92">
        <f t="shared" si="16"/>
        <v>0</v>
      </c>
      <c r="F80" s="92">
        <f>G80+H80</f>
        <v>1612</v>
      </c>
      <c r="G80" s="92">
        <v>1612</v>
      </c>
      <c r="H80" s="92"/>
      <c r="I80" s="90">
        <f t="shared" si="5"/>
        <v>100</v>
      </c>
      <c r="J80" s="90">
        <f t="shared" si="5"/>
        <v>100</v>
      </c>
      <c r="K80" s="90">
        <f t="shared" si="5"/>
        <v>0</v>
      </c>
    </row>
    <row r="81" spans="1:11" ht="27.6" collapsed="1" x14ac:dyDescent="0.3">
      <c r="A81" s="95" t="s">
        <v>12</v>
      </c>
      <c r="B81" s="78" t="s">
        <v>241</v>
      </c>
      <c r="C81" s="92">
        <f t="shared" ref="C81:H81" si="19">C82+C83+C84+C85+C86+C87+C88+C89+C90</f>
        <v>86040</v>
      </c>
      <c r="D81" s="92">
        <f t="shared" si="19"/>
        <v>81829</v>
      </c>
      <c r="E81" s="92">
        <f t="shared" si="19"/>
        <v>4211</v>
      </c>
      <c r="F81" s="92">
        <f t="shared" si="19"/>
        <v>77144.902025999996</v>
      </c>
      <c r="G81" s="92">
        <f t="shared" si="19"/>
        <v>72291.324026000002</v>
      </c>
      <c r="H81" s="92">
        <f t="shared" si="19"/>
        <v>4853.5779999999995</v>
      </c>
      <c r="I81" s="90">
        <f t="shared" si="5"/>
        <v>89.661671345885622</v>
      </c>
      <c r="J81" s="90">
        <f t="shared" si="5"/>
        <v>88.344381607987387</v>
      </c>
      <c r="K81" s="90">
        <f t="shared" si="5"/>
        <v>115.25951080503442</v>
      </c>
    </row>
    <row r="82" spans="1:11" ht="27.6" hidden="1" outlineLevel="1" x14ac:dyDescent="0.3">
      <c r="A82" s="87" t="s">
        <v>148</v>
      </c>
      <c r="B82" s="78" t="s">
        <v>242</v>
      </c>
      <c r="C82" s="92">
        <v>8155</v>
      </c>
      <c r="D82" s="92">
        <v>7680</v>
      </c>
      <c r="E82" s="92">
        <v>475</v>
      </c>
      <c r="F82" s="92">
        <f>G82+H82</f>
        <v>7559.991</v>
      </c>
      <c r="G82" s="92">
        <v>7165</v>
      </c>
      <c r="H82" s="92">
        <v>394.99099999999999</v>
      </c>
      <c r="I82" s="90">
        <f t="shared" si="5"/>
        <v>92.703752299202947</v>
      </c>
      <c r="J82" s="90">
        <f t="shared" si="5"/>
        <v>93.294270833333343</v>
      </c>
      <c r="K82" s="90">
        <f t="shared" si="5"/>
        <v>83.155999999999992</v>
      </c>
    </row>
    <row r="83" spans="1:11" hidden="1" outlineLevel="1" x14ac:dyDescent="0.3">
      <c r="A83" s="87" t="s">
        <v>148</v>
      </c>
      <c r="B83" s="78" t="s">
        <v>243</v>
      </c>
      <c r="C83" s="92">
        <f>D83+E83</f>
        <v>3284</v>
      </c>
      <c r="D83" s="92">
        <v>2046</v>
      </c>
      <c r="E83" s="92">
        <v>1238</v>
      </c>
      <c r="F83" s="92">
        <f>G83+H83</f>
        <v>2759.212</v>
      </c>
      <c r="G83" s="92">
        <v>1626</v>
      </c>
      <c r="H83" s="92">
        <v>1133.212</v>
      </c>
      <c r="I83" s="90">
        <f t="shared" si="5"/>
        <v>84.019853836784407</v>
      </c>
      <c r="J83" s="90">
        <f t="shared" si="5"/>
        <v>79.47214076246334</v>
      </c>
      <c r="K83" s="90">
        <f t="shared" si="5"/>
        <v>91.535702746365104</v>
      </c>
    </row>
    <row r="84" spans="1:11" hidden="1" outlineLevel="1" x14ac:dyDescent="0.3">
      <c r="A84" s="87" t="s">
        <v>148</v>
      </c>
      <c r="B84" s="78" t="s">
        <v>295</v>
      </c>
      <c r="C84" s="92">
        <f>D84+E84</f>
        <v>5670</v>
      </c>
      <c r="D84" s="92">
        <v>5670</v>
      </c>
      <c r="E84" s="92"/>
      <c r="F84" s="92">
        <f>G84+H84</f>
        <v>3966.1619929999997</v>
      </c>
      <c r="G84" s="92">
        <v>3966.1619929999997</v>
      </c>
      <c r="H84" s="92"/>
      <c r="I84" s="90">
        <f t="shared" si="5"/>
        <v>69.949946966490302</v>
      </c>
      <c r="J84" s="90">
        <f t="shared" si="5"/>
        <v>69.949946966490302</v>
      </c>
      <c r="K84" s="90">
        <f t="shared" si="5"/>
        <v>0</v>
      </c>
    </row>
    <row r="85" spans="1:11" hidden="1" outlineLevel="1" x14ac:dyDescent="0.3">
      <c r="A85" s="87" t="s">
        <v>148</v>
      </c>
      <c r="B85" s="78" t="s">
        <v>296</v>
      </c>
      <c r="C85" s="92">
        <v>1451</v>
      </c>
      <c r="D85" s="92">
        <v>1451</v>
      </c>
      <c r="E85" s="92">
        <f t="shared" si="16"/>
        <v>0</v>
      </c>
      <c r="F85" s="92">
        <f t="shared" ref="F85:F93" si="20">G85+H85</f>
        <v>1442.8140000000001</v>
      </c>
      <c r="G85" s="92">
        <v>1442.8140000000001</v>
      </c>
      <c r="H85" s="92"/>
      <c r="I85" s="90">
        <f t="shared" si="5"/>
        <v>99.435837353549289</v>
      </c>
      <c r="J85" s="90">
        <f t="shared" si="5"/>
        <v>99.435837353549289</v>
      </c>
      <c r="K85" s="90">
        <f t="shared" si="5"/>
        <v>0</v>
      </c>
    </row>
    <row r="86" spans="1:11" ht="27.6" hidden="1" outlineLevel="1" x14ac:dyDescent="0.3">
      <c r="A86" s="87" t="s">
        <v>148</v>
      </c>
      <c r="B86" s="78" t="s">
        <v>244</v>
      </c>
      <c r="C86" s="92">
        <v>1880</v>
      </c>
      <c r="D86" s="92">
        <v>1880</v>
      </c>
      <c r="E86" s="92">
        <f t="shared" si="16"/>
        <v>0</v>
      </c>
      <c r="F86" s="92">
        <f t="shared" si="20"/>
        <v>1880</v>
      </c>
      <c r="G86" s="92">
        <v>1880</v>
      </c>
      <c r="H86" s="92"/>
      <c r="I86" s="90">
        <f t="shared" si="5"/>
        <v>100</v>
      </c>
      <c r="J86" s="90">
        <f t="shared" si="5"/>
        <v>100</v>
      </c>
      <c r="K86" s="90">
        <f t="shared" si="5"/>
        <v>0</v>
      </c>
    </row>
    <row r="87" spans="1:11" ht="27.6" hidden="1" outlineLevel="1" x14ac:dyDescent="0.3">
      <c r="A87" s="87" t="s">
        <v>148</v>
      </c>
      <c r="B87" s="78" t="s">
        <v>245</v>
      </c>
      <c r="C87" s="92">
        <v>33800</v>
      </c>
      <c r="D87" s="92">
        <v>31302</v>
      </c>
      <c r="E87" s="92">
        <f t="shared" si="16"/>
        <v>2498</v>
      </c>
      <c r="F87" s="92">
        <f t="shared" si="20"/>
        <v>28268.723032999998</v>
      </c>
      <c r="G87" s="92">
        <v>26163.348032999998</v>
      </c>
      <c r="H87" s="92">
        <v>2105.375</v>
      </c>
      <c r="I87" s="90">
        <f t="shared" si="5"/>
        <v>83.635275245562127</v>
      </c>
      <c r="J87" s="90">
        <f t="shared" si="5"/>
        <v>83.583630544374159</v>
      </c>
      <c r="K87" s="90">
        <f t="shared" si="5"/>
        <v>84.282425940752603</v>
      </c>
    </row>
    <row r="88" spans="1:11" ht="55.2" hidden="1" outlineLevel="1" x14ac:dyDescent="0.3">
      <c r="A88" s="87" t="s">
        <v>148</v>
      </c>
      <c r="B88" s="78" t="s">
        <v>297</v>
      </c>
      <c r="C88" s="92">
        <v>30000</v>
      </c>
      <c r="D88" s="92">
        <v>30000</v>
      </c>
      <c r="E88" s="92">
        <f t="shared" si="16"/>
        <v>0</v>
      </c>
      <c r="F88" s="92">
        <f t="shared" si="20"/>
        <v>29748</v>
      </c>
      <c r="G88" s="92">
        <v>29748</v>
      </c>
      <c r="H88" s="92"/>
      <c r="I88" s="90">
        <f t="shared" si="5"/>
        <v>99.16</v>
      </c>
      <c r="J88" s="90">
        <f t="shared" si="5"/>
        <v>99.16</v>
      </c>
      <c r="K88" s="90">
        <f t="shared" si="5"/>
        <v>0</v>
      </c>
    </row>
    <row r="89" spans="1:11" ht="27.6" hidden="1" outlineLevel="1" x14ac:dyDescent="0.3">
      <c r="A89" s="87" t="s">
        <v>148</v>
      </c>
      <c r="B89" s="78" t="s">
        <v>246</v>
      </c>
      <c r="C89" s="92">
        <v>300</v>
      </c>
      <c r="D89" s="92">
        <v>300</v>
      </c>
      <c r="E89" s="92">
        <f>C89-D89</f>
        <v>0</v>
      </c>
      <c r="F89" s="92">
        <f t="shared" si="20"/>
        <v>300</v>
      </c>
      <c r="G89" s="92">
        <v>300</v>
      </c>
      <c r="H89" s="92"/>
      <c r="I89" s="90">
        <f t="shared" ref="I89:K94" si="21">IF(C89=0,0,F89/C89*100)</f>
        <v>100</v>
      </c>
      <c r="J89" s="90">
        <f t="shared" si="21"/>
        <v>100</v>
      </c>
      <c r="K89" s="90">
        <f t="shared" si="21"/>
        <v>0</v>
      </c>
    </row>
    <row r="90" spans="1:11" ht="41.4" hidden="1" outlineLevel="1" x14ac:dyDescent="0.3">
      <c r="A90" s="87" t="s">
        <v>148</v>
      </c>
      <c r="B90" s="78" t="s">
        <v>298</v>
      </c>
      <c r="C90" s="92">
        <v>1500</v>
      </c>
      <c r="D90" s="92">
        <v>1500</v>
      </c>
      <c r="E90" s="92">
        <f>C90-D90</f>
        <v>0</v>
      </c>
      <c r="F90" s="92">
        <f t="shared" si="20"/>
        <v>1220</v>
      </c>
      <c r="G90" s="92"/>
      <c r="H90" s="92">
        <v>1220</v>
      </c>
      <c r="I90" s="90">
        <f t="shared" si="21"/>
        <v>81.333333333333329</v>
      </c>
      <c r="J90" s="90">
        <f t="shared" si="21"/>
        <v>0</v>
      </c>
      <c r="K90" s="90">
        <f t="shared" si="21"/>
        <v>0</v>
      </c>
    </row>
    <row r="91" spans="1:11" collapsed="1" x14ac:dyDescent="0.3">
      <c r="A91" s="87" t="s">
        <v>12</v>
      </c>
      <c r="B91" s="78" t="s">
        <v>299</v>
      </c>
      <c r="C91" s="92">
        <v>248</v>
      </c>
      <c r="D91" s="92">
        <v>248</v>
      </c>
      <c r="E91" s="92">
        <f>C91-D91</f>
        <v>0</v>
      </c>
      <c r="F91" s="92">
        <f t="shared" si="20"/>
        <v>248</v>
      </c>
      <c r="G91" s="92">
        <v>248</v>
      </c>
      <c r="H91" s="92"/>
      <c r="I91" s="90">
        <f t="shared" si="21"/>
        <v>100</v>
      </c>
      <c r="J91" s="90">
        <f t="shared" si="21"/>
        <v>100</v>
      </c>
      <c r="K91" s="90">
        <f t="shared" si="21"/>
        <v>0</v>
      </c>
    </row>
    <row r="92" spans="1:11" x14ac:dyDescent="0.3">
      <c r="A92" s="87" t="s">
        <v>12</v>
      </c>
      <c r="B92" s="78" t="s">
        <v>300</v>
      </c>
      <c r="C92" s="92">
        <v>150</v>
      </c>
      <c r="D92" s="92">
        <v>150</v>
      </c>
      <c r="E92" s="92">
        <f>C92-D92</f>
        <v>0</v>
      </c>
      <c r="F92" s="92">
        <f t="shared" si="20"/>
        <v>150</v>
      </c>
      <c r="G92" s="92">
        <v>150</v>
      </c>
      <c r="H92" s="92"/>
      <c r="I92" s="90">
        <f t="shared" si="21"/>
        <v>100</v>
      </c>
      <c r="J92" s="90">
        <f t="shared" si="21"/>
        <v>100</v>
      </c>
      <c r="K92" s="90">
        <f t="shared" si="21"/>
        <v>0</v>
      </c>
    </row>
    <row r="93" spans="1:11" x14ac:dyDescent="0.3">
      <c r="A93" s="87" t="s">
        <v>12</v>
      </c>
      <c r="B93" s="78" t="s">
        <v>301</v>
      </c>
      <c r="C93" s="92">
        <v>5000</v>
      </c>
      <c r="D93" s="92">
        <v>5000</v>
      </c>
      <c r="E93" s="92">
        <f>C93-D93</f>
        <v>0</v>
      </c>
      <c r="F93" s="92">
        <f t="shared" si="20"/>
        <v>5000</v>
      </c>
      <c r="G93" s="92">
        <v>5000</v>
      </c>
      <c r="H93" s="92"/>
      <c r="I93" s="90">
        <f t="shared" si="21"/>
        <v>100</v>
      </c>
      <c r="J93" s="90">
        <f t="shared" si="21"/>
        <v>100</v>
      </c>
      <c r="K93" s="90">
        <f t="shared" si="21"/>
        <v>0</v>
      </c>
    </row>
    <row r="94" spans="1:11" ht="27.6" x14ac:dyDescent="0.3">
      <c r="A94" s="82" t="s">
        <v>33</v>
      </c>
      <c r="B94" s="83" t="s">
        <v>78</v>
      </c>
      <c r="C94" s="85"/>
      <c r="D94" s="85"/>
      <c r="E94" s="85"/>
      <c r="F94" s="85">
        <f>G94+H94</f>
        <v>2591890.6532200002</v>
      </c>
      <c r="G94" s="85">
        <v>1859411.5550220001</v>
      </c>
      <c r="H94" s="85">
        <v>732479.09819800011</v>
      </c>
      <c r="I94" s="84">
        <f t="shared" si="21"/>
        <v>0</v>
      </c>
      <c r="J94" s="84">
        <f t="shared" si="21"/>
        <v>0</v>
      </c>
      <c r="K94" s="84">
        <f t="shared" si="21"/>
        <v>0</v>
      </c>
    </row>
    <row r="95" spans="1:11" x14ac:dyDescent="0.3">
      <c r="A95" s="97" t="s">
        <v>34</v>
      </c>
      <c r="B95" s="98" t="s">
        <v>302</v>
      </c>
      <c r="C95" s="99"/>
      <c r="D95" s="99"/>
      <c r="E95" s="99"/>
      <c r="F95" s="99">
        <f>G95+H95</f>
        <v>210026.64608899999</v>
      </c>
      <c r="G95" s="99">
        <v>185107.980278</v>
      </c>
      <c r="H95" s="99">
        <v>24918.665810999999</v>
      </c>
      <c r="I95" s="100">
        <f>IF(C95=0,0,F95/C95*100)</f>
        <v>0</v>
      </c>
      <c r="J95" s="100">
        <f>IF(D95=0,0,G95/D95*100)</f>
        <v>0</v>
      </c>
      <c r="K95" s="100">
        <f>IF(E95=0,0,H95/E95*100)</f>
        <v>0</v>
      </c>
    </row>
  </sheetData>
  <mergeCells count="10">
    <mergeCell ref="A2:K2"/>
    <mergeCell ref="A3:K3"/>
    <mergeCell ref="J4:K4"/>
    <mergeCell ref="A5:A6"/>
    <mergeCell ref="D5:E5"/>
    <mergeCell ref="F5:F6"/>
    <mergeCell ref="G5:H5"/>
    <mergeCell ref="I5:K5"/>
    <mergeCell ref="B5:B6"/>
    <mergeCell ref="C5:C6"/>
  </mergeCells>
  <dataValidations count="3">
    <dataValidation allowBlank="1" showInputMessage="1" showErrorMessage="1" prompt="Chưa bao gồm chi chuyển giao ngân sách _x000a_"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34 JC65534 SY65534 ACU65534 AMQ65534 AWM65534 BGI65534 BQE65534 CAA65534 CJW65534 CTS65534 DDO65534 DNK65534 DXG65534 EHC65534 EQY65534 FAU65534 FKQ65534 FUM65534 GEI65534 GOE65534 GYA65534 HHW65534 HRS65534 IBO65534 ILK65534 IVG65534 JFC65534 JOY65534 JYU65534 KIQ65534 KSM65534 LCI65534 LME65534 LWA65534 MFW65534 MPS65534 MZO65534 NJK65534 NTG65534 ODC65534 OMY65534 OWU65534 PGQ65534 PQM65534 QAI65534 QKE65534 QUA65534 RDW65534 RNS65534 RXO65534 SHK65534 SRG65534 TBC65534 TKY65534 TUU65534 UEQ65534 UOM65534 UYI65534 VIE65534 VSA65534 WBW65534 WLS65534 WVO65534 G131070 JC131070 SY131070 ACU131070 AMQ131070 AWM131070 BGI131070 BQE131070 CAA131070 CJW131070 CTS131070 DDO131070 DNK131070 DXG131070 EHC131070 EQY131070 FAU131070 FKQ131070 FUM131070 GEI131070 GOE131070 GYA131070 HHW131070 HRS131070 IBO131070 ILK131070 IVG131070 JFC131070 JOY131070 JYU131070 KIQ131070 KSM131070 LCI131070 LME131070 LWA131070 MFW131070 MPS131070 MZO131070 NJK131070 NTG131070 ODC131070 OMY131070 OWU131070 PGQ131070 PQM131070 QAI131070 QKE131070 QUA131070 RDW131070 RNS131070 RXO131070 SHK131070 SRG131070 TBC131070 TKY131070 TUU131070 UEQ131070 UOM131070 UYI131070 VIE131070 VSA131070 WBW131070 WLS131070 WVO131070 G196606 JC196606 SY196606 ACU196606 AMQ196606 AWM196606 BGI196606 BQE196606 CAA196606 CJW196606 CTS196606 DDO196606 DNK196606 DXG196606 EHC196606 EQY196606 FAU196606 FKQ196606 FUM196606 GEI196606 GOE196606 GYA196606 HHW196606 HRS196606 IBO196606 ILK196606 IVG196606 JFC196606 JOY196606 JYU196606 KIQ196606 KSM196606 LCI196606 LME196606 LWA196606 MFW196606 MPS196606 MZO196606 NJK196606 NTG196606 ODC196606 OMY196606 OWU196606 PGQ196606 PQM196606 QAI196606 QKE196606 QUA196606 RDW196606 RNS196606 RXO196606 SHK196606 SRG196606 TBC196606 TKY196606 TUU196606 UEQ196606 UOM196606 UYI196606 VIE196606 VSA196606 WBW196606 WLS196606 WVO196606 G262142 JC262142 SY262142 ACU262142 AMQ262142 AWM262142 BGI262142 BQE262142 CAA262142 CJW262142 CTS262142 DDO262142 DNK262142 DXG262142 EHC262142 EQY262142 FAU262142 FKQ262142 FUM262142 GEI262142 GOE262142 GYA262142 HHW262142 HRS262142 IBO262142 ILK262142 IVG262142 JFC262142 JOY262142 JYU262142 KIQ262142 KSM262142 LCI262142 LME262142 LWA262142 MFW262142 MPS262142 MZO262142 NJK262142 NTG262142 ODC262142 OMY262142 OWU262142 PGQ262142 PQM262142 QAI262142 QKE262142 QUA262142 RDW262142 RNS262142 RXO262142 SHK262142 SRG262142 TBC262142 TKY262142 TUU262142 UEQ262142 UOM262142 UYI262142 VIE262142 VSA262142 WBW262142 WLS262142 WVO262142 G327678 JC327678 SY327678 ACU327678 AMQ327678 AWM327678 BGI327678 BQE327678 CAA327678 CJW327678 CTS327678 DDO327678 DNK327678 DXG327678 EHC327678 EQY327678 FAU327678 FKQ327678 FUM327678 GEI327678 GOE327678 GYA327678 HHW327678 HRS327678 IBO327678 ILK327678 IVG327678 JFC327678 JOY327678 JYU327678 KIQ327678 KSM327678 LCI327678 LME327678 LWA327678 MFW327678 MPS327678 MZO327678 NJK327678 NTG327678 ODC327678 OMY327678 OWU327678 PGQ327678 PQM327678 QAI327678 QKE327678 QUA327678 RDW327678 RNS327678 RXO327678 SHK327678 SRG327678 TBC327678 TKY327678 TUU327678 UEQ327678 UOM327678 UYI327678 VIE327678 VSA327678 WBW327678 WLS327678 WVO327678 G393214 JC393214 SY393214 ACU393214 AMQ393214 AWM393214 BGI393214 BQE393214 CAA393214 CJW393214 CTS393214 DDO393214 DNK393214 DXG393214 EHC393214 EQY393214 FAU393214 FKQ393214 FUM393214 GEI393214 GOE393214 GYA393214 HHW393214 HRS393214 IBO393214 ILK393214 IVG393214 JFC393214 JOY393214 JYU393214 KIQ393214 KSM393214 LCI393214 LME393214 LWA393214 MFW393214 MPS393214 MZO393214 NJK393214 NTG393214 ODC393214 OMY393214 OWU393214 PGQ393214 PQM393214 QAI393214 QKE393214 QUA393214 RDW393214 RNS393214 RXO393214 SHK393214 SRG393214 TBC393214 TKY393214 TUU393214 UEQ393214 UOM393214 UYI393214 VIE393214 VSA393214 WBW393214 WLS393214 WVO393214 G458750 JC458750 SY458750 ACU458750 AMQ458750 AWM458750 BGI458750 BQE458750 CAA458750 CJW458750 CTS458750 DDO458750 DNK458750 DXG458750 EHC458750 EQY458750 FAU458750 FKQ458750 FUM458750 GEI458750 GOE458750 GYA458750 HHW458750 HRS458750 IBO458750 ILK458750 IVG458750 JFC458750 JOY458750 JYU458750 KIQ458750 KSM458750 LCI458750 LME458750 LWA458750 MFW458750 MPS458750 MZO458750 NJK458750 NTG458750 ODC458750 OMY458750 OWU458750 PGQ458750 PQM458750 QAI458750 QKE458750 QUA458750 RDW458750 RNS458750 RXO458750 SHK458750 SRG458750 TBC458750 TKY458750 TUU458750 UEQ458750 UOM458750 UYI458750 VIE458750 VSA458750 WBW458750 WLS458750 WVO458750 G524286 JC524286 SY524286 ACU524286 AMQ524286 AWM524286 BGI524286 BQE524286 CAA524286 CJW524286 CTS524286 DDO524286 DNK524286 DXG524286 EHC524286 EQY524286 FAU524286 FKQ524286 FUM524286 GEI524286 GOE524286 GYA524286 HHW524286 HRS524286 IBO524286 ILK524286 IVG524286 JFC524286 JOY524286 JYU524286 KIQ524286 KSM524286 LCI524286 LME524286 LWA524286 MFW524286 MPS524286 MZO524286 NJK524286 NTG524286 ODC524286 OMY524286 OWU524286 PGQ524286 PQM524286 QAI524286 QKE524286 QUA524286 RDW524286 RNS524286 RXO524286 SHK524286 SRG524286 TBC524286 TKY524286 TUU524286 UEQ524286 UOM524286 UYI524286 VIE524286 VSA524286 WBW524286 WLS524286 WVO524286 G589822 JC589822 SY589822 ACU589822 AMQ589822 AWM589822 BGI589822 BQE589822 CAA589822 CJW589822 CTS589822 DDO589822 DNK589822 DXG589822 EHC589822 EQY589822 FAU589822 FKQ589822 FUM589822 GEI589822 GOE589822 GYA589822 HHW589822 HRS589822 IBO589822 ILK589822 IVG589822 JFC589822 JOY589822 JYU589822 KIQ589822 KSM589822 LCI589822 LME589822 LWA589822 MFW589822 MPS589822 MZO589822 NJK589822 NTG589822 ODC589822 OMY589822 OWU589822 PGQ589822 PQM589822 QAI589822 QKE589822 QUA589822 RDW589822 RNS589822 RXO589822 SHK589822 SRG589822 TBC589822 TKY589822 TUU589822 UEQ589822 UOM589822 UYI589822 VIE589822 VSA589822 WBW589822 WLS589822 WVO589822 G655358 JC655358 SY655358 ACU655358 AMQ655358 AWM655358 BGI655358 BQE655358 CAA655358 CJW655358 CTS655358 DDO655358 DNK655358 DXG655358 EHC655358 EQY655358 FAU655358 FKQ655358 FUM655358 GEI655358 GOE655358 GYA655358 HHW655358 HRS655358 IBO655358 ILK655358 IVG655358 JFC655358 JOY655358 JYU655358 KIQ655358 KSM655358 LCI655358 LME655358 LWA655358 MFW655358 MPS655358 MZO655358 NJK655358 NTG655358 ODC655358 OMY655358 OWU655358 PGQ655358 PQM655358 QAI655358 QKE655358 QUA655358 RDW655358 RNS655358 RXO655358 SHK655358 SRG655358 TBC655358 TKY655358 TUU655358 UEQ655358 UOM655358 UYI655358 VIE655358 VSA655358 WBW655358 WLS655358 WVO655358 G720894 JC720894 SY720894 ACU720894 AMQ720894 AWM720894 BGI720894 BQE720894 CAA720894 CJW720894 CTS720894 DDO720894 DNK720894 DXG720894 EHC720894 EQY720894 FAU720894 FKQ720894 FUM720894 GEI720894 GOE720894 GYA720894 HHW720894 HRS720894 IBO720894 ILK720894 IVG720894 JFC720894 JOY720894 JYU720894 KIQ720894 KSM720894 LCI720894 LME720894 LWA720894 MFW720894 MPS720894 MZO720894 NJK720894 NTG720894 ODC720894 OMY720894 OWU720894 PGQ720894 PQM720894 QAI720894 QKE720894 QUA720894 RDW720894 RNS720894 RXO720894 SHK720894 SRG720894 TBC720894 TKY720894 TUU720894 UEQ720894 UOM720894 UYI720894 VIE720894 VSA720894 WBW720894 WLS720894 WVO720894 G786430 JC786430 SY786430 ACU786430 AMQ786430 AWM786430 BGI786430 BQE786430 CAA786430 CJW786430 CTS786430 DDO786430 DNK786430 DXG786430 EHC786430 EQY786430 FAU786430 FKQ786430 FUM786430 GEI786430 GOE786430 GYA786430 HHW786430 HRS786430 IBO786430 ILK786430 IVG786430 JFC786430 JOY786430 JYU786430 KIQ786430 KSM786430 LCI786430 LME786430 LWA786430 MFW786430 MPS786430 MZO786430 NJK786430 NTG786430 ODC786430 OMY786430 OWU786430 PGQ786430 PQM786430 QAI786430 QKE786430 QUA786430 RDW786430 RNS786430 RXO786430 SHK786430 SRG786430 TBC786430 TKY786430 TUU786430 UEQ786430 UOM786430 UYI786430 VIE786430 VSA786430 WBW786430 WLS786430 WVO786430 G851966 JC851966 SY851966 ACU851966 AMQ851966 AWM851966 BGI851966 BQE851966 CAA851966 CJW851966 CTS851966 DDO851966 DNK851966 DXG851966 EHC851966 EQY851966 FAU851966 FKQ851966 FUM851966 GEI851966 GOE851966 GYA851966 HHW851966 HRS851966 IBO851966 ILK851966 IVG851966 JFC851966 JOY851966 JYU851966 KIQ851966 KSM851966 LCI851966 LME851966 LWA851966 MFW851966 MPS851966 MZO851966 NJK851966 NTG851966 ODC851966 OMY851966 OWU851966 PGQ851966 PQM851966 QAI851966 QKE851966 QUA851966 RDW851966 RNS851966 RXO851966 SHK851966 SRG851966 TBC851966 TKY851966 TUU851966 UEQ851966 UOM851966 UYI851966 VIE851966 VSA851966 WBW851966 WLS851966 WVO851966 G917502 JC917502 SY917502 ACU917502 AMQ917502 AWM917502 BGI917502 BQE917502 CAA917502 CJW917502 CTS917502 DDO917502 DNK917502 DXG917502 EHC917502 EQY917502 FAU917502 FKQ917502 FUM917502 GEI917502 GOE917502 GYA917502 HHW917502 HRS917502 IBO917502 ILK917502 IVG917502 JFC917502 JOY917502 JYU917502 KIQ917502 KSM917502 LCI917502 LME917502 LWA917502 MFW917502 MPS917502 MZO917502 NJK917502 NTG917502 ODC917502 OMY917502 OWU917502 PGQ917502 PQM917502 QAI917502 QKE917502 QUA917502 RDW917502 RNS917502 RXO917502 SHK917502 SRG917502 TBC917502 TKY917502 TUU917502 UEQ917502 UOM917502 UYI917502 VIE917502 VSA917502 WBW917502 WLS917502 WVO917502 G983038 JC983038 SY983038 ACU983038 AMQ983038 AWM983038 BGI983038 BQE983038 CAA983038 CJW983038 CTS983038 DDO983038 DNK983038 DXG983038 EHC983038 EQY983038 FAU983038 FKQ983038 FUM983038 GEI983038 GOE983038 GYA983038 HHW983038 HRS983038 IBO983038 ILK983038 IVG983038 JFC983038 JOY983038 JYU983038 KIQ983038 KSM983038 LCI983038 LME983038 LWA983038 MFW983038 MPS983038 MZO983038 NJK983038 NTG983038 ODC983038 OMY983038 OWU983038 PGQ983038 PQM983038 QAI983038 QKE983038 QUA983038 RDW983038 RNS983038 RXO983038 SHK983038 SRG983038 TBC983038 TKY983038 TUU983038 UEQ983038 UOM983038 UYI983038 VIE983038 VSA983038 WBW983038 WLS983038 WVO983038"/>
    <dataValidation allowBlank="1" showInputMessage="1" showErrorMessage="1" prompt="Chưa bao gồm chi chuyển giao ngân sách " sqref="WVP98303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dataValidation allowBlank="1" showInputMessage="1" showErrorMessage="1" prompt="_x000a_" sqref="F8"/>
  </dataValidations>
  <printOptions horizontalCentered="1"/>
  <pageMargins left="0" right="0" top="0.75" bottom="0.4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4"/>
  <sheetViews>
    <sheetView workbookViewId="0">
      <pane xSplit="2" ySplit="7" topLeftCell="C26" activePane="bottomRight" state="frozen"/>
      <selection pane="topRight" activeCell="C1" sqref="C1"/>
      <selection pane="bottomLeft" activeCell="A8" sqref="A8"/>
      <selection pane="bottomRight" activeCell="D35" sqref="D35"/>
    </sheetView>
  </sheetViews>
  <sheetFormatPr defaultColWidth="9.109375" defaultRowHeight="15.6" x14ac:dyDescent="0.3"/>
  <cols>
    <col min="1" max="1" width="6.88671875" style="46" customWidth="1"/>
    <col min="2" max="2" width="56.44140625" style="46" customWidth="1"/>
    <col min="3" max="3" width="12.88671875" style="46" customWidth="1"/>
    <col min="4" max="4" width="13.44140625" style="46" customWidth="1"/>
    <col min="5" max="5" width="11.44140625" style="46" customWidth="1"/>
    <col min="6" max="6" width="13.109375" style="46" customWidth="1"/>
    <col min="7" max="7" width="15.44140625" style="46" bestFit="1" customWidth="1"/>
    <col min="8" max="8" width="11.44140625" style="46" bestFit="1" customWidth="1"/>
    <col min="9" max="9" width="10.109375" style="46" bestFit="1" customWidth="1"/>
    <col min="10" max="10" width="9.109375" style="46"/>
    <col min="11" max="11" width="11.44140625" style="46" bestFit="1" customWidth="1"/>
    <col min="12" max="16384" width="9.109375" style="46"/>
  </cols>
  <sheetData>
    <row r="1" spans="1:11" x14ac:dyDescent="0.3">
      <c r="A1" s="52"/>
      <c r="D1" s="52" t="s">
        <v>79</v>
      </c>
    </row>
    <row r="2" spans="1:11" x14ac:dyDescent="0.3">
      <c r="A2" s="53"/>
    </row>
    <row r="3" spans="1:11" ht="16.8" x14ac:dyDescent="0.3">
      <c r="A3" s="291" t="s">
        <v>253</v>
      </c>
      <c r="B3" s="291"/>
      <c r="C3" s="291"/>
      <c r="D3" s="291"/>
      <c r="E3" s="291"/>
    </row>
    <row r="4" spans="1:11" x14ac:dyDescent="0.3">
      <c r="A4" s="292" t="s">
        <v>538</v>
      </c>
      <c r="B4" s="292"/>
      <c r="C4" s="292"/>
      <c r="D4" s="292"/>
      <c r="E4" s="292"/>
    </row>
    <row r="5" spans="1:11" x14ac:dyDescent="0.3">
      <c r="B5" s="38"/>
      <c r="C5" s="54"/>
      <c r="D5" s="150" t="s">
        <v>160</v>
      </c>
    </row>
    <row r="6" spans="1:11" ht="31.2" x14ac:dyDescent="0.3">
      <c r="A6" s="55" t="s">
        <v>2</v>
      </c>
      <c r="B6" s="55" t="s">
        <v>3</v>
      </c>
      <c r="C6" s="55" t="s">
        <v>37</v>
      </c>
      <c r="D6" s="55" t="s">
        <v>5</v>
      </c>
      <c r="E6" s="55" t="s">
        <v>6</v>
      </c>
      <c r="F6" s="18"/>
      <c r="G6" s="50"/>
    </row>
    <row r="7" spans="1:11" x14ac:dyDescent="0.3">
      <c r="A7" s="56" t="s">
        <v>7</v>
      </c>
      <c r="B7" s="56" t="s">
        <v>8</v>
      </c>
      <c r="C7" s="56">
        <v>1</v>
      </c>
      <c r="D7" s="56">
        <v>2</v>
      </c>
      <c r="E7" s="56" t="s">
        <v>9</v>
      </c>
      <c r="G7" s="50"/>
      <c r="H7" s="50"/>
    </row>
    <row r="8" spans="1:11" s="151" customFormat="1" ht="19.5" customHeight="1" x14ac:dyDescent="0.3">
      <c r="A8" s="57"/>
      <c r="B8" s="57" t="s">
        <v>20</v>
      </c>
      <c r="C8" s="58">
        <f>C9+C10+C42+C43</f>
        <v>6483942.0010000002</v>
      </c>
      <c r="D8" s="58">
        <f>D9+D10+D42+D43</f>
        <v>7740928.2055780003</v>
      </c>
      <c r="E8" s="59">
        <f>IF((C8&gt;0),D8/C8*100,0)</f>
        <v>119.3861420164483</v>
      </c>
      <c r="G8" s="152"/>
      <c r="H8" s="152"/>
    </row>
    <row r="9" spans="1:11" s="151" customFormat="1" ht="31.2" x14ac:dyDescent="0.3">
      <c r="A9" s="60" t="s">
        <v>7</v>
      </c>
      <c r="B9" s="40" t="s">
        <v>248</v>
      </c>
      <c r="C9" s="61">
        <v>2011709</v>
      </c>
      <c r="D9" s="61">
        <v>2011709</v>
      </c>
      <c r="E9" s="62">
        <f>IF((C9&gt;0),D9/C9*100,0)</f>
        <v>100</v>
      </c>
      <c r="F9" s="153"/>
      <c r="G9" s="153"/>
      <c r="H9" s="153"/>
    </row>
    <row r="10" spans="1:11" s="155" customFormat="1" x14ac:dyDescent="0.3">
      <c r="A10" s="60" t="s">
        <v>8</v>
      </c>
      <c r="B10" s="40" t="s">
        <v>80</v>
      </c>
      <c r="C10" s="61">
        <f>C11+C26+C38+C39+C40+C41</f>
        <v>4472233.0010000002</v>
      </c>
      <c r="D10" s="61">
        <f>D11+D26+D38+D39+D40+D41</f>
        <v>3684699.6505560004</v>
      </c>
      <c r="E10" s="62">
        <f>IF((C10&gt;0),D10/C10*100,0)</f>
        <v>82.390601065107617</v>
      </c>
      <c r="F10" s="154"/>
      <c r="H10" s="154"/>
      <c r="K10" s="153"/>
    </row>
    <row r="11" spans="1:11" s="151" customFormat="1" x14ac:dyDescent="0.3">
      <c r="A11" s="60" t="s">
        <v>41</v>
      </c>
      <c r="B11" s="40" t="s">
        <v>161</v>
      </c>
      <c r="C11" s="283">
        <f>C12+C24+C25</f>
        <v>1411880.0010000002</v>
      </c>
      <c r="D11" s="283">
        <f>D12+D24+D25</f>
        <v>1730080.9983000001</v>
      </c>
      <c r="E11" s="276">
        <f t="shared" ref="E11:E43" si="0">IF((C11&gt;0),D11/C11*100,0)</f>
        <v>122.53739673871902</v>
      </c>
      <c r="F11" s="277"/>
      <c r="G11" s="277"/>
      <c r="K11" s="153"/>
    </row>
    <row r="12" spans="1:11" s="155" customFormat="1" x14ac:dyDescent="0.3">
      <c r="A12" s="65">
        <v>1</v>
      </c>
      <c r="B12" s="64" t="s">
        <v>68</v>
      </c>
      <c r="C12" s="24">
        <v>1409036.0010000002</v>
      </c>
      <c r="D12" s="24">
        <v>1722260.9983000001</v>
      </c>
      <c r="E12" s="43">
        <f t="shared" si="0"/>
        <v>122.2297370030079</v>
      </c>
      <c r="F12" s="277"/>
      <c r="G12" s="278"/>
      <c r="H12" s="154"/>
      <c r="K12" s="154"/>
    </row>
    <row r="13" spans="1:11" s="155" customFormat="1" x14ac:dyDescent="0.3">
      <c r="A13" s="65"/>
      <c r="B13" s="66" t="s">
        <v>127</v>
      </c>
      <c r="C13" s="23"/>
      <c r="D13" s="23"/>
      <c r="E13" s="63"/>
      <c r="K13" s="154"/>
    </row>
    <row r="14" spans="1:11" s="155" customFormat="1" x14ac:dyDescent="0.3">
      <c r="A14" s="70" t="s">
        <v>81</v>
      </c>
      <c r="B14" s="74" t="s">
        <v>69</v>
      </c>
      <c r="C14" s="75">
        <v>23566.203000000001</v>
      </c>
      <c r="D14" s="75">
        <v>58401.723709999991</v>
      </c>
      <c r="E14" s="63">
        <f t="shared" si="0"/>
        <v>247.81982786959779</v>
      </c>
      <c r="H14" s="156"/>
      <c r="I14" s="156"/>
      <c r="K14" s="154"/>
    </row>
    <row r="15" spans="1:11" s="155" customFormat="1" x14ac:dyDescent="0.3">
      <c r="A15" s="70" t="s">
        <v>82</v>
      </c>
      <c r="B15" s="74" t="s">
        <v>70</v>
      </c>
      <c r="C15" s="75">
        <v>22000</v>
      </c>
      <c r="D15" s="75">
        <v>16026.487697</v>
      </c>
      <c r="E15" s="63">
        <f t="shared" si="0"/>
        <v>72.847671349999999</v>
      </c>
    </row>
    <row r="16" spans="1:11" s="155" customFormat="1" x14ac:dyDescent="0.3">
      <c r="A16" s="70" t="s">
        <v>83</v>
      </c>
      <c r="B16" s="74" t="s">
        <v>84</v>
      </c>
      <c r="C16" s="75">
        <v>75334.138999999996</v>
      </c>
      <c r="D16" s="75">
        <v>86642.150076000005</v>
      </c>
      <c r="E16" s="63">
        <f t="shared" si="0"/>
        <v>115.01047363931511</v>
      </c>
      <c r="H16" s="154"/>
    </row>
    <row r="17" spans="1:8" s="155" customFormat="1" x14ac:dyDescent="0.3">
      <c r="A17" s="70" t="s">
        <v>85</v>
      </c>
      <c r="B17" s="74" t="s">
        <v>86</v>
      </c>
      <c r="C17" s="75">
        <v>5162</v>
      </c>
      <c r="D17" s="75">
        <v>1953.19</v>
      </c>
      <c r="E17" s="63">
        <f t="shared" si="0"/>
        <v>37.837853545137548</v>
      </c>
    </row>
    <row r="18" spans="1:8" s="155" customFormat="1" x14ac:dyDescent="0.3">
      <c r="A18" s="70" t="s">
        <v>87</v>
      </c>
      <c r="B18" s="74" t="s">
        <v>88</v>
      </c>
      <c r="C18" s="75">
        <v>9080</v>
      </c>
      <c r="D18" s="75">
        <v>8217.8590000000004</v>
      </c>
      <c r="E18" s="63">
        <f t="shared" si="0"/>
        <v>90.505055066079294</v>
      </c>
    </row>
    <row r="19" spans="1:8" s="155" customFormat="1" x14ac:dyDescent="0.3">
      <c r="A19" s="70" t="s">
        <v>89</v>
      </c>
      <c r="B19" s="74" t="s">
        <v>90</v>
      </c>
      <c r="C19" s="75">
        <v>14310</v>
      </c>
      <c r="D19" s="75">
        <v>23960.145949999998</v>
      </c>
      <c r="E19" s="63">
        <f t="shared" si="0"/>
        <v>167.4363798043326</v>
      </c>
    </row>
    <row r="20" spans="1:8" s="155" customFormat="1" x14ac:dyDescent="0.3">
      <c r="A20" s="70" t="s">
        <v>91</v>
      </c>
      <c r="B20" s="74" t="s">
        <v>92</v>
      </c>
      <c r="C20" s="75">
        <v>19460</v>
      </c>
      <c r="D20" s="75">
        <v>30336.41346</v>
      </c>
      <c r="E20" s="63">
        <f t="shared" si="0"/>
        <v>155.89112774922918</v>
      </c>
      <c r="G20" s="154"/>
    </row>
    <row r="21" spans="1:8" s="155" customFormat="1" x14ac:dyDescent="0.3">
      <c r="A21" s="70" t="s">
        <v>93</v>
      </c>
      <c r="B21" s="74" t="s">
        <v>94</v>
      </c>
      <c r="C21" s="75">
        <v>1217592.5430000001</v>
      </c>
      <c r="D21" s="75">
        <f>1419532.887068-D41</f>
        <v>1364620.567458</v>
      </c>
      <c r="E21" s="63">
        <f t="shared" si="0"/>
        <v>112.07530592259877</v>
      </c>
      <c r="G21" s="154"/>
    </row>
    <row r="22" spans="1:8" s="155" customFormat="1" x14ac:dyDescent="0.3">
      <c r="A22" s="70" t="s">
        <v>95</v>
      </c>
      <c r="B22" s="74" t="s">
        <v>96</v>
      </c>
      <c r="C22" s="75">
        <v>3524.5699999999997</v>
      </c>
      <c r="D22" s="75">
        <v>67082.389733999997</v>
      </c>
      <c r="E22" s="63">
        <f t="shared" si="0"/>
        <v>1903.2786902799489</v>
      </c>
    </row>
    <row r="23" spans="1:8" s="155" customFormat="1" x14ac:dyDescent="0.3">
      <c r="A23" s="70" t="s">
        <v>97</v>
      </c>
      <c r="B23" s="74" t="s">
        <v>98</v>
      </c>
      <c r="C23" s="75"/>
      <c r="D23" s="149">
        <v>0</v>
      </c>
      <c r="E23" s="63">
        <f t="shared" si="0"/>
        <v>0</v>
      </c>
    </row>
    <row r="24" spans="1:8" s="155" customFormat="1" ht="62.4" x14ac:dyDescent="0.3">
      <c r="A24" s="65">
        <v>2</v>
      </c>
      <c r="B24" s="64" t="s">
        <v>210</v>
      </c>
      <c r="C24" s="67">
        <v>2844</v>
      </c>
      <c r="D24" s="23">
        <v>7820</v>
      </c>
      <c r="E24" s="63">
        <f t="shared" si="0"/>
        <v>274.9648382559775</v>
      </c>
      <c r="H24" s="154"/>
    </row>
    <row r="25" spans="1:8" s="155" customFormat="1" x14ac:dyDescent="0.3">
      <c r="A25" s="65">
        <v>3</v>
      </c>
      <c r="B25" s="64" t="s">
        <v>73</v>
      </c>
      <c r="C25" s="63"/>
      <c r="D25" s="63"/>
      <c r="E25" s="63"/>
      <c r="H25" s="154"/>
    </row>
    <row r="26" spans="1:8" s="151" customFormat="1" x14ac:dyDescent="0.3">
      <c r="A26" s="60" t="s">
        <v>27</v>
      </c>
      <c r="B26" s="40" t="s">
        <v>24</v>
      </c>
      <c r="C26" s="283">
        <v>2111122</v>
      </c>
      <c r="D26" s="283">
        <v>1880185.332646</v>
      </c>
      <c r="E26" s="276">
        <f t="shared" si="0"/>
        <v>89.060951126746829</v>
      </c>
      <c r="F26" s="277"/>
    </row>
    <row r="27" spans="1:8" s="151" customFormat="1" x14ac:dyDescent="0.3">
      <c r="A27" s="60"/>
      <c r="B27" s="66" t="s">
        <v>127</v>
      </c>
      <c r="C27" s="61"/>
      <c r="D27" s="61"/>
      <c r="E27" s="62"/>
    </row>
    <row r="28" spans="1:8" s="155" customFormat="1" x14ac:dyDescent="0.3">
      <c r="A28" s="70">
        <v>1</v>
      </c>
      <c r="B28" s="64" t="s">
        <v>69</v>
      </c>
      <c r="C28" s="23">
        <v>433830</v>
      </c>
      <c r="D28" s="23">
        <v>407229.41332200001</v>
      </c>
      <c r="E28" s="63">
        <f t="shared" si="0"/>
        <v>93.868430795933889</v>
      </c>
    </row>
    <row r="29" spans="1:8" s="155" customFormat="1" x14ac:dyDescent="0.3">
      <c r="A29" s="70">
        <v>2</v>
      </c>
      <c r="B29" s="64" t="s">
        <v>70</v>
      </c>
      <c r="C29" s="23">
        <v>14890</v>
      </c>
      <c r="D29" s="23">
        <v>10370</v>
      </c>
      <c r="E29" s="63">
        <f t="shared" si="0"/>
        <v>69.644056413700469</v>
      </c>
    </row>
    <row r="30" spans="1:8" s="155" customFormat="1" x14ac:dyDescent="0.3">
      <c r="A30" s="70">
        <v>3</v>
      </c>
      <c r="B30" s="64" t="s">
        <v>84</v>
      </c>
      <c r="C30" s="68">
        <v>607763</v>
      </c>
      <c r="D30" s="23">
        <v>596269</v>
      </c>
      <c r="E30" s="63">
        <f t="shared" si="0"/>
        <v>98.108802279836056</v>
      </c>
    </row>
    <row r="31" spans="1:8" s="155" customFormat="1" x14ac:dyDescent="0.3">
      <c r="A31" s="70">
        <v>4</v>
      </c>
      <c r="B31" s="64" t="s">
        <v>86</v>
      </c>
      <c r="C31" s="68">
        <v>43742</v>
      </c>
      <c r="D31" s="23">
        <v>30957</v>
      </c>
      <c r="E31" s="63">
        <f t="shared" si="0"/>
        <v>70.771798271683963</v>
      </c>
    </row>
    <row r="32" spans="1:8" s="155" customFormat="1" x14ac:dyDescent="0.3">
      <c r="A32" s="70">
        <v>5</v>
      </c>
      <c r="B32" s="64" t="s">
        <v>88</v>
      </c>
      <c r="C32" s="68">
        <v>15556</v>
      </c>
      <c r="D32" s="23">
        <v>15762</v>
      </c>
      <c r="E32" s="63">
        <f t="shared" si="0"/>
        <v>101.32424787863204</v>
      </c>
    </row>
    <row r="33" spans="1:5" s="155" customFormat="1" x14ac:dyDescent="0.3">
      <c r="A33" s="70">
        <v>6</v>
      </c>
      <c r="B33" s="64" t="s">
        <v>90</v>
      </c>
      <c r="C33" s="68">
        <v>10077</v>
      </c>
      <c r="D33" s="23">
        <v>10450</v>
      </c>
      <c r="E33" s="63">
        <f t="shared" si="0"/>
        <v>103.7014984618438</v>
      </c>
    </row>
    <row r="34" spans="1:5" s="155" customFormat="1" x14ac:dyDescent="0.3">
      <c r="A34" s="70">
        <v>7</v>
      </c>
      <c r="B34" s="64" t="s">
        <v>92</v>
      </c>
      <c r="C34" s="68">
        <v>5935</v>
      </c>
      <c r="D34" s="23">
        <v>5836</v>
      </c>
      <c r="E34" s="63">
        <f t="shared" si="0"/>
        <v>98.331929233361421</v>
      </c>
    </row>
    <row r="35" spans="1:5" s="155" customFormat="1" x14ac:dyDescent="0.3">
      <c r="A35" s="70">
        <v>8</v>
      </c>
      <c r="B35" s="64" t="s">
        <v>94</v>
      </c>
      <c r="C35" s="68">
        <v>432059</v>
      </c>
      <c r="D35" s="68">
        <v>340992</v>
      </c>
      <c r="E35" s="63">
        <f t="shared" si="0"/>
        <v>78.922554558520943</v>
      </c>
    </row>
    <row r="36" spans="1:5" s="155" customFormat="1" x14ac:dyDescent="0.3">
      <c r="A36" s="70">
        <v>9</v>
      </c>
      <c r="B36" s="64" t="s">
        <v>96</v>
      </c>
      <c r="C36" s="68">
        <v>353769</v>
      </c>
      <c r="D36" s="68">
        <v>342489</v>
      </c>
      <c r="E36" s="63">
        <f t="shared" si="0"/>
        <v>96.811478676763656</v>
      </c>
    </row>
    <row r="37" spans="1:5" s="155" customFormat="1" x14ac:dyDescent="0.3">
      <c r="A37" s="70">
        <v>10</v>
      </c>
      <c r="B37" s="64" t="s">
        <v>98</v>
      </c>
      <c r="C37" s="68">
        <v>65662</v>
      </c>
      <c r="D37" s="68">
        <v>20798</v>
      </c>
      <c r="E37" s="63">
        <f t="shared" si="0"/>
        <v>31.674332186043682</v>
      </c>
    </row>
    <row r="38" spans="1:5" s="151" customFormat="1" ht="31.2" x14ac:dyDescent="0.3">
      <c r="A38" s="60" t="s">
        <v>31</v>
      </c>
      <c r="B38" s="212" t="s">
        <v>259</v>
      </c>
      <c r="C38" s="69">
        <v>1300</v>
      </c>
      <c r="D38" s="69">
        <v>18521</v>
      </c>
      <c r="E38" s="62">
        <f t="shared" si="0"/>
        <v>1424.6923076923076</v>
      </c>
    </row>
    <row r="39" spans="1:5" s="151" customFormat="1" x14ac:dyDescent="0.3">
      <c r="A39" s="60" t="s">
        <v>58</v>
      </c>
      <c r="B39" s="40" t="s">
        <v>497</v>
      </c>
      <c r="C39" s="69">
        <v>1000</v>
      </c>
      <c r="D39" s="69">
        <v>1000</v>
      </c>
      <c r="E39" s="62">
        <f t="shared" si="0"/>
        <v>100</v>
      </c>
    </row>
    <row r="40" spans="1:5" s="151" customFormat="1" x14ac:dyDescent="0.3">
      <c r="A40" s="60" t="s">
        <v>75</v>
      </c>
      <c r="B40" s="40" t="s">
        <v>26</v>
      </c>
      <c r="C40" s="69">
        <v>66931</v>
      </c>
      <c r="D40" s="69"/>
      <c r="E40" s="63">
        <f t="shared" si="0"/>
        <v>0</v>
      </c>
    </row>
    <row r="41" spans="1:5" s="151" customFormat="1" ht="31.2" x14ac:dyDescent="0.3">
      <c r="A41" s="60" t="s">
        <v>76</v>
      </c>
      <c r="B41" s="40" t="s">
        <v>303</v>
      </c>
      <c r="C41" s="157">
        <v>880000</v>
      </c>
      <c r="D41" s="157">
        <v>54912.319609999999</v>
      </c>
      <c r="E41" s="62">
        <f t="shared" si="0"/>
        <v>6.2400363193181816</v>
      </c>
    </row>
    <row r="42" spans="1:5" s="151" customFormat="1" x14ac:dyDescent="0.3">
      <c r="A42" s="158" t="s">
        <v>33</v>
      </c>
      <c r="B42" s="159" t="s">
        <v>78</v>
      </c>
      <c r="C42" s="157"/>
      <c r="D42" s="157">
        <v>1859411.5550220001</v>
      </c>
      <c r="E42" s="63">
        <f t="shared" si="0"/>
        <v>0</v>
      </c>
    </row>
    <row r="43" spans="1:5" s="151" customFormat="1" x14ac:dyDescent="0.3">
      <c r="A43" s="160" t="s">
        <v>34</v>
      </c>
      <c r="B43" s="161" t="s">
        <v>247</v>
      </c>
      <c r="C43" s="162"/>
      <c r="D43" s="162">
        <v>185108</v>
      </c>
      <c r="E43" s="163">
        <f t="shared" si="0"/>
        <v>0</v>
      </c>
    </row>
    <row r="44" spans="1:5" x14ac:dyDescent="0.3">
      <c r="C44" s="49"/>
      <c r="D44" s="49"/>
    </row>
  </sheetData>
  <mergeCells count="2">
    <mergeCell ref="A3:E3"/>
    <mergeCell ref="A4:E4"/>
  </mergeCells>
  <dataValidations count="1">
    <dataValidation allowBlank="1" showInputMessage="1" showErrorMessage="1" prompt="Theo quy định không công khai chi tiết lĩnh vực chi an ninh, quốc phòng" sqref="C12 C26"/>
  </dataValidations>
  <printOptions horizontalCentered="1"/>
  <pageMargins left="0" right="0" top="0.75" bottom="0.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120"/>
  <sheetViews>
    <sheetView zoomScale="70" zoomScaleNormal="70" workbookViewId="0">
      <pane xSplit="2" ySplit="9" topLeftCell="C58" activePane="bottomRight" state="frozen"/>
      <selection pane="topRight" activeCell="C1" sqref="C1"/>
      <selection pane="bottomLeft" activeCell="A10" sqref="A10"/>
      <selection pane="bottomRight" activeCell="B76" sqref="B76"/>
    </sheetView>
  </sheetViews>
  <sheetFormatPr defaultColWidth="9.109375" defaultRowHeight="15.6" outlineLevelCol="1" x14ac:dyDescent="0.3"/>
  <cols>
    <col min="1" max="1" width="6.44140625" style="46" customWidth="1"/>
    <col min="2" max="2" width="45.109375" style="46" customWidth="1"/>
    <col min="3" max="5" width="11.44140625" style="46" customWidth="1"/>
    <col min="6" max="8" width="17.109375" style="46" hidden="1" customWidth="1" outlineLevel="1"/>
    <col min="9" max="9" width="13.44140625" style="46" customWidth="1" collapsed="1"/>
    <col min="10" max="10" width="13.5546875" style="46" customWidth="1"/>
    <col min="11" max="11" width="11.109375" style="46" customWidth="1"/>
    <col min="12" max="12" width="11.88671875" style="46" customWidth="1"/>
    <col min="13" max="13" width="10.44140625" style="46" customWidth="1"/>
    <col min="14" max="14" width="11.44140625" style="46" customWidth="1"/>
    <col min="15" max="15" width="12.44140625" style="46" customWidth="1"/>
    <col min="16" max="16" width="12.88671875" style="46" customWidth="1"/>
    <col min="17" max="17" width="18.88671875" style="46" hidden="1" customWidth="1" outlineLevel="1"/>
    <col min="18" max="18" width="18.44140625" style="46" hidden="1" customWidth="1" outlineLevel="1"/>
    <col min="19" max="19" width="11.88671875" style="46" customWidth="1" collapsed="1"/>
    <col min="20" max="20" width="15.88671875" style="46" customWidth="1"/>
    <col min="21" max="21" width="13" style="46" customWidth="1"/>
    <col min="22" max="22" width="12.44140625" style="46" customWidth="1"/>
    <col min="23" max="23" width="11.109375" style="46" customWidth="1"/>
    <col min="24" max="24" width="15.44140625" style="46" customWidth="1"/>
    <col min="25" max="25" width="13.5546875" style="46" hidden="1" customWidth="1" outlineLevel="1"/>
    <col min="26" max="26" width="11.5546875" style="46" hidden="1" customWidth="1" outlineLevel="1"/>
    <col min="27" max="27" width="12.44140625" style="46" customWidth="1" collapsed="1"/>
    <col min="28" max="28" width="9.44140625" style="46" customWidth="1"/>
    <col min="29" max="29" width="10.5546875" style="46" customWidth="1"/>
    <col min="30" max="30" width="9.5546875" style="46" customWidth="1"/>
    <col min="31" max="31" width="11.44140625" style="46" customWidth="1"/>
    <col min="32" max="32" width="9.109375" style="222"/>
    <col min="33" max="33" width="12.5546875" style="46" bestFit="1" customWidth="1"/>
    <col min="34" max="34" width="20.109375" style="46" bestFit="1" customWidth="1"/>
    <col min="35" max="256" width="9.109375" style="46"/>
    <col min="257" max="257" width="5.44140625" style="46" customWidth="1"/>
    <col min="258" max="258" width="45.109375" style="46" customWidth="1"/>
    <col min="259" max="259" width="15.109375" style="46" customWidth="1"/>
    <col min="260" max="260" width="16.44140625" style="46" customWidth="1"/>
    <col min="261" max="261" width="17.109375" style="46" customWidth="1"/>
    <col min="262" max="264" width="0" style="46" hidden="1" customWidth="1"/>
    <col min="265" max="266" width="15.88671875" style="46" customWidth="1"/>
    <col min="267" max="267" width="11.109375" style="46" customWidth="1"/>
    <col min="268" max="268" width="11.88671875" style="46" customWidth="1"/>
    <col min="269" max="269" width="10.44140625" style="46" customWidth="1"/>
    <col min="270" max="270" width="16.44140625" style="46" customWidth="1"/>
    <col min="271" max="271" width="14.109375" style="46" customWidth="1"/>
    <col min="272" max="272" width="15.88671875" style="46" customWidth="1"/>
    <col min="273" max="274" width="0" style="46" hidden="1" customWidth="1"/>
    <col min="275" max="275" width="11.88671875" style="46" customWidth="1"/>
    <col min="276" max="276" width="15.88671875" style="46" customWidth="1"/>
    <col min="277" max="277" width="15.44140625" style="46" customWidth="1"/>
    <col min="278" max="278" width="12.44140625" style="46" customWidth="1"/>
    <col min="279" max="279" width="11.109375" style="46" customWidth="1"/>
    <col min="280" max="280" width="15.44140625" style="46" customWidth="1"/>
    <col min="281" max="282" width="0" style="46" hidden="1" customWidth="1"/>
    <col min="283" max="283" width="15" style="46" customWidth="1"/>
    <col min="284" max="284" width="9.44140625" style="46" customWidth="1"/>
    <col min="285" max="285" width="10.5546875" style="46" customWidth="1"/>
    <col min="286" max="286" width="9.5546875" style="46" customWidth="1"/>
    <col min="287" max="287" width="11.44140625" style="46" customWidth="1"/>
    <col min="288" max="288" width="9.109375" style="46"/>
    <col min="289" max="289" width="12.5546875" style="46" bestFit="1" customWidth="1"/>
    <col min="290" max="290" width="20.109375" style="46" bestFit="1" customWidth="1"/>
    <col min="291" max="512" width="9.109375" style="46"/>
    <col min="513" max="513" width="5.44140625" style="46" customWidth="1"/>
    <col min="514" max="514" width="45.109375" style="46" customWidth="1"/>
    <col min="515" max="515" width="15.109375" style="46" customWidth="1"/>
    <col min="516" max="516" width="16.44140625" style="46" customWidth="1"/>
    <col min="517" max="517" width="17.109375" style="46" customWidth="1"/>
    <col min="518" max="520" width="0" style="46" hidden="1" customWidth="1"/>
    <col min="521" max="522" width="15.88671875" style="46" customWidth="1"/>
    <col min="523" max="523" width="11.109375" style="46" customWidth="1"/>
    <col min="524" max="524" width="11.88671875" style="46" customWidth="1"/>
    <col min="525" max="525" width="10.44140625" style="46" customWidth="1"/>
    <col min="526" max="526" width="16.44140625" style="46" customWidth="1"/>
    <col min="527" max="527" width="14.109375" style="46" customWidth="1"/>
    <col min="528" max="528" width="15.88671875" style="46" customWidth="1"/>
    <col min="529" max="530" width="0" style="46" hidden="1" customWidth="1"/>
    <col min="531" max="531" width="11.88671875" style="46" customWidth="1"/>
    <col min="532" max="532" width="15.88671875" style="46" customWidth="1"/>
    <col min="533" max="533" width="15.44140625" style="46" customWidth="1"/>
    <col min="534" max="534" width="12.44140625" style="46" customWidth="1"/>
    <col min="535" max="535" width="11.109375" style="46" customWidth="1"/>
    <col min="536" max="536" width="15.44140625" style="46" customWidth="1"/>
    <col min="537" max="538" width="0" style="46" hidden="1" customWidth="1"/>
    <col min="539" max="539" width="15" style="46" customWidth="1"/>
    <col min="540" max="540" width="9.44140625" style="46" customWidth="1"/>
    <col min="541" max="541" width="10.5546875" style="46" customWidth="1"/>
    <col min="542" max="542" width="9.5546875" style="46" customWidth="1"/>
    <col min="543" max="543" width="11.44140625" style="46" customWidth="1"/>
    <col min="544" max="544" width="9.109375" style="46"/>
    <col min="545" max="545" width="12.5546875" style="46" bestFit="1" customWidth="1"/>
    <col min="546" max="546" width="20.109375" style="46" bestFit="1" customWidth="1"/>
    <col min="547" max="768" width="9.109375" style="46"/>
    <col min="769" max="769" width="5.44140625" style="46" customWidth="1"/>
    <col min="770" max="770" width="45.109375" style="46" customWidth="1"/>
    <col min="771" max="771" width="15.109375" style="46" customWidth="1"/>
    <col min="772" max="772" width="16.44140625" style="46" customWidth="1"/>
    <col min="773" max="773" width="17.109375" style="46" customWidth="1"/>
    <col min="774" max="776" width="0" style="46" hidden="1" customWidth="1"/>
    <col min="777" max="778" width="15.88671875" style="46" customWidth="1"/>
    <col min="779" max="779" width="11.109375" style="46" customWidth="1"/>
    <col min="780" max="780" width="11.88671875" style="46" customWidth="1"/>
    <col min="781" max="781" width="10.44140625" style="46" customWidth="1"/>
    <col min="782" max="782" width="16.44140625" style="46" customWidth="1"/>
    <col min="783" max="783" width="14.109375" style="46" customWidth="1"/>
    <col min="784" max="784" width="15.88671875" style="46" customWidth="1"/>
    <col min="785" max="786" width="0" style="46" hidden="1" customWidth="1"/>
    <col min="787" max="787" width="11.88671875" style="46" customWidth="1"/>
    <col min="788" max="788" width="15.88671875" style="46" customWidth="1"/>
    <col min="789" max="789" width="15.44140625" style="46" customWidth="1"/>
    <col min="790" max="790" width="12.44140625" style="46" customWidth="1"/>
    <col min="791" max="791" width="11.109375" style="46" customWidth="1"/>
    <col min="792" max="792" width="15.44140625" style="46" customWidth="1"/>
    <col min="793" max="794" width="0" style="46" hidden="1" customWidth="1"/>
    <col min="795" max="795" width="15" style="46" customWidth="1"/>
    <col min="796" max="796" width="9.44140625" style="46" customWidth="1"/>
    <col min="797" max="797" width="10.5546875" style="46" customWidth="1"/>
    <col min="798" max="798" width="9.5546875" style="46" customWidth="1"/>
    <col min="799" max="799" width="11.44140625" style="46" customWidth="1"/>
    <col min="800" max="800" width="9.109375" style="46"/>
    <col min="801" max="801" width="12.5546875" style="46" bestFit="1" customWidth="1"/>
    <col min="802" max="802" width="20.109375" style="46" bestFit="1" customWidth="1"/>
    <col min="803" max="1024" width="9.109375" style="46"/>
    <col min="1025" max="1025" width="5.44140625" style="46" customWidth="1"/>
    <col min="1026" max="1026" width="45.109375" style="46" customWidth="1"/>
    <col min="1027" max="1027" width="15.109375" style="46" customWidth="1"/>
    <col min="1028" max="1028" width="16.44140625" style="46" customWidth="1"/>
    <col min="1029" max="1029" width="17.109375" style="46" customWidth="1"/>
    <col min="1030" max="1032" width="0" style="46" hidden="1" customWidth="1"/>
    <col min="1033" max="1034" width="15.88671875" style="46" customWidth="1"/>
    <col min="1035" max="1035" width="11.109375" style="46" customWidth="1"/>
    <col min="1036" max="1036" width="11.88671875" style="46" customWidth="1"/>
    <col min="1037" max="1037" width="10.44140625" style="46" customWidth="1"/>
    <col min="1038" max="1038" width="16.44140625" style="46" customWidth="1"/>
    <col min="1039" max="1039" width="14.109375" style="46" customWidth="1"/>
    <col min="1040" max="1040" width="15.88671875" style="46" customWidth="1"/>
    <col min="1041" max="1042" width="0" style="46" hidden="1" customWidth="1"/>
    <col min="1043" max="1043" width="11.88671875" style="46" customWidth="1"/>
    <col min="1044" max="1044" width="15.88671875" style="46" customWidth="1"/>
    <col min="1045" max="1045" width="15.44140625" style="46" customWidth="1"/>
    <col min="1046" max="1046" width="12.44140625" style="46" customWidth="1"/>
    <col min="1047" max="1047" width="11.109375" style="46" customWidth="1"/>
    <col min="1048" max="1048" width="15.44140625" style="46" customWidth="1"/>
    <col min="1049" max="1050" width="0" style="46" hidden="1" customWidth="1"/>
    <col min="1051" max="1051" width="15" style="46" customWidth="1"/>
    <col min="1052" max="1052" width="9.44140625" style="46" customWidth="1"/>
    <col min="1053" max="1053" width="10.5546875" style="46" customWidth="1"/>
    <col min="1054" max="1054" width="9.5546875" style="46" customWidth="1"/>
    <col min="1055" max="1055" width="11.44140625" style="46" customWidth="1"/>
    <col min="1056" max="1056" width="9.109375" style="46"/>
    <col min="1057" max="1057" width="12.5546875" style="46" bestFit="1" customWidth="1"/>
    <col min="1058" max="1058" width="20.109375" style="46" bestFit="1" customWidth="1"/>
    <col min="1059" max="1280" width="9.109375" style="46"/>
    <col min="1281" max="1281" width="5.44140625" style="46" customWidth="1"/>
    <col min="1282" max="1282" width="45.109375" style="46" customWidth="1"/>
    <col min="1283" max="1283" width="15.109375" style="46" customWidth="1"/>
    <col min="1284" max="1284" width="16.44140625" style="46" customWidth="1"/>
    <col min="1285" max="1285" width="17.109375" style="46" customWidth="1"/>
    <col min="1286" max="1288" width="0" style="46" hidden="1" customWidth="1"/>
    <col min="1289" max="1290" width="15.88671875" style="46" customWidth="1"/>
    <col min="1291" max="1291" width="11.109375" style="46" customWidth="1"/>
    <col min="1292" max="1292" width="11.88671875" style="46" customWidth="1"/>
    <col min="1293" max="1293" width="10.44140625" style="46" customWidth="1"/>
    <col min="1294" max="1294" width="16.44140625" style="46" customWidth="1"/>
    <col min="1295" max="1295" width="14.109375" style="46" customWidth="1"/>
    <col min="1296" max="1296" width="15.88671875" style="46" customWidth="1"/>
    <col min="1297" max="1298" width="0" style="46" hidden="1" customWidth="1"/>
    <col min="1299" max="1299" width="11.88671875" style="46" customWidth="1"/>
    <col min="1300" max="1300" width="15.88671875" style="46" customWidth="1"/>
    <col min="1301" max="1301" width="15.44140625" style="46" customWidth="1"/>
    <col min="1302" max="1302" width="12.44140625" style="46" customWidth="1"/>
    <col min="1303" max="1303" width="11.109375" style="46" customWidth="1"/>
    <col min="1304" max="1304" width="15.44140625" style="46" customWidth="1"/>
    <col min="1305" max="1306" width="0" style="46" hidden="1" customWidth="1"/>
    <col min="1307" max="1307" width="15" style="46" customWidth="1"/>
    <col min="1308" max="1308" width="9.44140625" style="46" customWidth="1"/>
    <col min="1309" max="1309" width="10.5546875" style="46" customWidth="1"/>
    <col min="1310" max="1310" width="9.5546875" style="46" customWidth="1"/>
    <col min="1311" max="1311" width="11.44140625" style="46" customWidth="1"/>
    <col min="1312" max="1312" width="9.109375" style="46"/>
    <col min="1313" max="1313" width="12.5546875" style="46" bestFit="1" customWidth="1"/>
    <col min="1314" max="1314" width="20.109375" style="46" bestFit="1" customWidth="1"/>
    <col min="1315" max="1536" width="9.109375" style="46"/>
    <col min="1537" max="1537" width="5.44140625" style="46" customWidth="1"/>
    <col min="1538" max="1538" width="45.109375" style="46" customWidth="1"/>
    <col min="1539" max="1539" width="15.109375" style="46" customWidth="1"/>
    <col min="1540" max="1540" width="16.44140625" style="46" customWidth="1"/>
    <col min="1541" max="1541" width="17.109375" style="46" customWidth="1"/>
    <col min="1542" max="1544" width="0" style="46" hidden="1" customWidth="1"/>
    <col min="1545" max="1546" width="15.88671875" style="46" customWidth="1"/>
    <col min="1547" max="1547" width="11.109375" style="46" customWidth="1"/>
    <col min="1548" max="1548" width="11.88671875" style="46" customWidth="1"/>
    <col min="1549" max="1549" width="10.44140625" style="46" customWidth="1"/>
    <col min="1550" max="1550" width="16.44140625" style="46" customWidth="1"/>
    <col min="1551" max="1551" width="14.109375" style="46" customWidth="1"/>
    <col min="1552" max="1552" width="15.88671875" style="46" customWidth="1"/>
    <col min="1553" max="1554" width="0" style="46" hidden="1" customWidth="1"/>
    <col min="1555" max="1555" width="11.88671875" style="46" customWidth="1"/>
    <col min="1556" max="1556" width="15.88671875" style="46" customWidth="1"/>
    <col min="1557" max="1557" width="15.44140625" style="46" customWidth="1"/>
    <col min="1558" max="1558" width="12.44140625" style="46" customWidth="1"/>
    <col min="1559" max="1559" width="11.109375" style="46" customWidth="1"/>
    <col min="1560" max="1560" width="15.44140625" style="46" customWidth="1"/>
    <col min="1561" max="1562" width="0" style="46" hidden="1" customWidth="1"/>
    <col min="1563" max="1563" width="15" style="46" customWidth="1"/>
    <col min="1564" max="1564" width="9.44140625" style="46" customWidth="1"/>
    <col min="1565" max="1565" width="10.5546875" style="46" customWidth="1"/>
    <col min="1566" max="1566" width="9.5546875" style="46" customWidth="1"/>
    <col min="1567" max="1567" width="11.44140625" style="46" customWidth="1"/>
    <col min="1568" max="1568" width="9.109375" style="46"/>
    <col min="1569" max="1569" width="12.5546875" style="46" bestFit="1" customWidth="1"/>
    <col min="1570" max="1570" width="20.109375" style="46" bestFit="1" customWidth="1"/>
    <col min="1571" max="1792" width="9.109375" style="46"/>
    <col min="1793" max="1793" width="5.44140625" style="46" customWidth="1"/>
    <col min="1794" max="1794" width="45.109375" style="46" customWidth="1"/>
    <col min="1795" max="1795" width="15.109375" style="46" customWidth="1"/>
    <col min="1796" max="1796" width="16.44140625" style="46" customWidth="1"/>
    <col min="1797" max="1797" width="17.109375" style="46" customWidth="1"/>
    <col min="1798" max="1800" width="0" style="46" hidden="1" customWidth="1"/>
    <col min="1801" max="1802" width="15.88671875" style="46" customWidth="1"/>
    <col min="1803" max="1803" width="11.109375" style="46" customWidth="1"/>
    <col min="1804" max="1804" width="11.88671875" style="46" customWidth="1"/>
    <col min="1805" max="1805" width="10.44140625" style="46" customWidth="1"/>
    <col min="1806" max="1806" width="16.44140625" style="46" customWidth="1"/>
    <col min="1807" max="1807" width="14.109375" style="46" customWidth="1"/>
    <col min="1808" max="1808" width="15.88671875" style="46" customWidth="1"/>
    <col min="1809" max="1810" width="0" style="46" hidden="1" customWidth="1"/>
    <col min="1811" max="1811" width="11.88671875" style="46" customWidth="1"/>
    <col min="1812" max="1812" width="15.88671875" style="46" customWidth="1"/>
    <col min="1813" max="1813" width="15.44140625" style="46" customWidth="1"/>
    <col min="1814" max="1814" width="12.44140625" style="46" customWidth="1"/>
    <col min="1815" max="1815" width="11.109375" style="46" customWidth="1"/>
    <col min="1816" max="1816" width="15.44140625" style="46" customWidth="1"/>
    <col min="1817" max="1818" width="0" style="46" hidden="1" customWidth="1"/>
    <col min="1819" max="1819" width="15" style="46" customWidth="1"/>
    <col min="1820" max="1820" width="9.44140625" style="46" customWidth="1"/>
    <col min="1821" max="1821" width="10.5546875" style="46" customWidth="1"/>
    <col min="1822" max="1822" width="9.5546875" style="46" customWidth="1"/>
    <col min="1823" max="1823" width="11.44140625" style="46" customWidth="1"/>
    <col min="1824" max="1824" width="9.109375" style="46"/>
    <col min="1825" max="1825" width="12.5546875" style="46" bestFit="1" customWidth="1"/>
    <col min="1826" max="1826" width="20.109375" style="46" bestFit="1" customWidth="1"/>
    <col min="1827" max="2048" width="9.109375" style="46"/>
    <col min="2049" max="2049" width="5.44140625" style="46" customWidth="1"/>
    <col min="2050" max="2050" width="45.109375" style="46" customWidth="1"/>
    <col min="2051" max="2051" width="15.109375" style="46" customWidth="1"/>
    <col min="2052" max="2052" width="16.44140625" style="46" customWidth="1"/>
    <col min="2053" max="2053" width="17.109375" style="46" customWidth="1"/>
    <col min="2054" max="2056" width="0" style="46" hidden="1" customWidth="1"/>
    <col min="2057" max="2058" width="15.88671875" style="46" customWidth="1"/>
    <col min="2059" max="2059" width="11.109375" style="46" customWidth="1"/>
    <col min="2060" max="2060" width="11.88671875" style="46" customWidth="1"/>
    <col min="2061" max="2061" width="10.44140625" style="46" customWidth="1"/>
    <col min="2062" max="2062" width="16.44140625" style="46" customWidth="1"/>
    <col min="2063" max="2063" width="14.109375" style="46" customWidth="1"/>
    <col min="2064" max="2064" width="15.88671875" style="46" customWidth="1"/>
    <col min="2065" max="2066" width="0" style="46" hidden="1" customWidth="1"/>
    <col min="2067" max="2067" width="11.88671875" style="46" customWidth="1"/>
    <col min="2068" max="2068" width="15.88671875" style="46" customWidth="1"/>
    <col min="2069" max="2069" width="15.44140625" style="46" customWidth="1"/>
    <col min="2070" max="2070" width="12.44140625" style="46" customWidth="1"/>
    <col min="2071" max="2071" width="11.109375" style="46" customWidth="1"/>
    <col min="2072" max="2072" width="15.44140625" style="46" customWidth="1"/>
    <col min="2073" max="2074" width="0" style="46" hidden="1" customWidth="1"/>
    <col min="2075" max="2075" width="15" style="46" customWidth="1"/>
    <col min="2076" max="2076" width="9.44140625" style="46" customWidth="1"/>
    <col min="2077" max="2077" width="10.5546875" style="46" customWidth="1"/>
    <col min="2078" max="2078" width="9.5546875" style="46" customWidth="1"/>
    <col min="2079" max="2079" width="11.44140625" style="46" customWidth="1"/>
    <col min="2080" max="2080" width="9.109375" style="46"/>
    <col min="2081" max="2081" width="12.5546875" style="46" bestFit="1" customWidth="1"/>
    <col min="2082" max="2082" width="20.109375" style="46" bestFit="1" customWidth="1"/>
    <col min="2083" max="2304" width="9.109375" style="46"/>
    <col min="2305" max="2305" width="5.44140625" style="46" customWidth="1"/>
    <col min="2306" max="2306" width="45.109375" style="46" customWidth="1"/>
    <col min="2307" max="2307" width="15.109375" style="46" customWidth="1"/>
    <col min="2308" max="2308" width="16.44140625" style="46" customWidth="1"/>
    <col min="2309" max="2309" width="17.109375" style="46" customWidth="1"/>
    <col min="2310" max="2312" width="0" style="46" hidden="1" customWidth="1"/>
    <col min="2313" max="2314" width="15.88671875" style="46" customWidth="1"/>
    <col min="2315" max="2315" width="11.109375" style="46" customWidth="1"/>
    <col min="2316" max="2316" width="11.88671875" style="46" customWidth="1"/>
    <col min="2317" max="2317" width="10.44140625" style="46" customWidth="1"/>
    <col min="2318" max="2318" width="16.44140625" style="46" customWidth="1"/>
    <col min="2319" max="2319" width="14.109375" style="46" customWidth="1"/>
    <col min="2320" max="2320" width="15.88671875" style="46" customWidth="1"/>
    <col min="2321" max="2322" width="0" style="46" hidden="1" customWidth="1"/>
    <col min="2323" max="2323" width="11.88671875" style="46" customWidth="1"/>
    <col min="2324" max="2324" width="15.88671875" style="46" customWidth="1"/>
    <col min="2325" max="2325" width="15.44140625" style="46" customWidth="1"/>
    <col min="2326" max="2326" width="12.44140625" style="46" customWidth="1"/>
    <col min="2327" max="2327" width="11.109375" style="46" customWidth="1"/>
    <col min="2328" max="2328" width="15.44140625" style="46" customWidth="1"/>
    <col min="2329" max="2330" width="0" style="46" hidden="1" customWidth="1"/>
    <col min="2331" max="2331" width="15" style="46" customWidth="1"/>
    <col min="2332" max="2332" width="9.44140625" style="46" customWidth="1"/>
    <col min="2333" max="2333" width="10.5546875" style="46" customWidth="1"/>
    <col min="2334" max="2334" width="9.5546875" style="46" customWidth="1"/>
    <col min="2335" max="2335" width="11.44140625" style="46" customWidth="1"/>
    <col min="2336" max="2336" width="9.109375" style="46"/>
    <col min="2337" max="2337" width="12.5546875" style="46" bestFit="1" customWidth="1"/>
    <col min="2338" max="2338" width="20.109375" style="46" bestFit="1" customWidth="1"/>
    <col min="2339" max="2560" width="9.109375" style="46"/>
    <col min="2561" max="2561" width="5.44140625" style="46" customWidth="1"/>
    <col min="2562" max="2562" width="45.109375" style="46" customWidth="1"/>
    <col min="2563" max="2563" width="15.109375" style="46" customWidth="1"/>
    <col min="2564" max="2564" width="16.44140625" style="46" customWidth="1"/>
    <col min="2565" max="2565" width="17.109375" style="46" customWidth="1"/>
    <col min="2566" max="2568" width="0" style="46" hidden="1" customWidth="1"/>
    <col min="2569" max="2570" width="15.88671875" style="46" customWidth="1"/>
    <col min="2571" max="2571" width="11.109375" style="46" customWidth="1"/>
    <col min="2572" max="2572" width="11.88671875" style="46" customWidth="1"/>
    <col min="2573" max="2573" width="10.44140625" style="46" customWidth="1"/>
    <col min="2574" max="2574" width="16.44140625" style="46" customWidth="1"/>
    <col min="2575" max="2575" width="14.109375" style="46" customWidth="1"/>
    <col min="2576" max="2576" width="15.88671875" style="46" customWidth="1"/>
    <col min="2577" max="2578" width="0" style="46" hidden="1" customWidth="1"/>
    <col min="2579" max="2579" width="11.88671875" style="46" customWidth="1"/>
    <col min="2580" max="2580" width="15.88671875" style="46" customWidth="1"/>
    <col min="2581" max="2581" width="15.44140625" style="46" customWidth="1"/>
    <col min="2582" max="2582" width="12.44140625" style="46" customWidth="1"/>
    <col min="2583" max="2583" width="11.109375" style="46" customWidth="1"/>
    <col min="2584" max="2584" width="15.44140625" style="46" customWidth="1"/>
    <col min="2585" max="2586" width="0" style="46" hidden="1" customWidth="1"/>
    <col min="2587" max="2587" width="15" style="46" customWidth="1"/>
    <col min="2588" max="2588" width="9.44140625" style="46" customWidth="1"/>
    <col min="2589" max="2589" width="10.5546875" style="46" customWidth="1"/>
    <col min="2590" max="2590" width="9.5546875" style="46" customWidth="1"/>
    <col min="2591" max="2591" width="11.44140625" style="46" customWidth="1"/>
    <col min="2592" max="2592" width="9.109375" style="46"/>
    <col min="2593" max="2593" width="12.5546875" style="46" bestFit="1" customWidth="1"/>
    <col min="2594" max="2594" width="20.109375" style="46" bestFit="1" customWidth="1"/>
    <col min="2595" max="2816" width="9.109375" style="46"/>
    <col min="2817" max="2817" width="5.44140625" style="46" customWidth="1"/>
    <col min="2818" max="2818" width="45.109375" style="46" customWidth="1"/>
    <col min="2819" max="2819" width="15.109375" style="46" customWidth="1"/>
    <col min="2820" max="2820" width="16.44140625" style="46" customWidth="1"/>
    <col min="2821" max="2821" width="17.109375" style="46" customWidth="1"/>
    <col min="2822" max="2824" width="0" style="46" hidden="1" customWidth="1"/>
    <col min="2825" max="2826" width="15.88671875" style="46" customWidth="1"/>
    <col min="2827" max="2827" width="11.109375" style="46" customWidth="1"/>
    <col min="2828" max="2828" width="11.88671875" style="46" customWidth="1"/>
    <col min="2829" max="2829" width="10.44140625" style="46" customWidth="1"/>
    <col min="2830" max="2830" width="16.44140625" style="46" customWidth="1"/>
    <col min="2831" max="2831" width="14.109375" style="46" customWidth="1"/>
    <col min="2832" max="2832" width="15.88671875" style="46" customWidth="1"/>
    <col min="2833" max="2834" width="0" style="46" hidden="1" customWidth="1"/>
    <col min="2835" max="2835" width="11.88671875" style="46" customWidth="1"/>
    <col min="2836" max="2836" width="15.88671875" style="46" customWidth="1"/>
    <col min="2837" max="2837" width="15.44140625" style="46" customWidth="1"/>
    <col min="2838" max="2838" width="12.44140625" style="46" customWidth="1"/>
    <col min="2839" max="2839" width="11.109375" style="46" customWidth="1"/>
    <col min="2840" max="2840" width="15.44140625" style="46" customWidth="1"/>
    <col min="2841" max="2842" width="0" style="46" hidden="1" customWidth="1"/>
    <col min="2843" max="2843" width="15" style="46" customWidth="1"/>
    <col min="2844" max="2844" width="9.44140625" style="46" customWidth="1"/>
    <col min="2845" max="2845" width="10.5546875" style="46" customWidth="1"/>
    <col min="2846" max="2846" width="9.5546875" style="46" customWidth="1"/>
    <col min="2847" max="2847" width="11.44140625" style="46" customWidth="1"/>
    <col min="2848" max="2848" width="9.109375" style="46"/>
    <col min="2849" max="2849" width="12.5546875" style="46" bestFit="1" customWidth="1"/>
    <col min="2850" max="2850" width="20.109375" style="46" bestFit="1" customWidth="1"/>
    <col min="2851" max="3072" width="9.109375" style="46"/>
    <col min="3073" max="3073" width="5.44140625" style="46" customWidth="1"/>
    <col min="3074" max="3074" width="45.109375" style="46" customWidth="1"/>
    <col min="3075" max="3075" width="15.109375" style="46" customWidth="1"/>
    <col min="3076" max="3076" width="16.44140625" style="46" customWidth="1"/>
    <col min="3077" max="3077" width="17.109375" style="46" customWidth="1"/>
    <col min="3078" max="3080" width="0" style="46" hidden="1" customWidth="1"/>
    <col min="3081" max="3082" width="15.88671875" style="46" customWidth="1"/>
    <col min="3083" max="3083" width="11.109375" style="46" customWidth="1"/>
    <col min="3084" max="3084" width="11.88671875" style="46" customWidth="1"/>
    <col min="3085" max="3085" width="10.44140625" style="46" customWidth="1"/>
    <col min="3086" max="3086" width="16.44140625" style="46" customWidth="1"/>
    <col min="3087" max="3087" width="14.109375" style="46" customWidth="1"/>
    <col min="3088" max="3088" width="15.88671875" style="46" customWidth="1"/>
    <col min="3089" max="3090" width="0" style="46" hidden="1" customWidth="1"/>
    <col min="3091" max="3091" width="11.88671875" style="46" customWidth="1"/>
    <col min="3092" max="3092" width="15.88671875" style="46" customWidth="1"/>
    <col min="3093" max="3093" width="15.44140625" style="46" customWidth="1"/>
    <col min="3094" max="3094" width="12.44140625" style="46" customWidth="1"/>
    <col min="3095" max="3095" width="11.109375" style="46" customWidth="1"/>
    <col min="3096" max="3096" width="15.44140625" style="46" customWidth="1"/>
    <col min="3097" max="3098" width="0" style="46" hidden="1" customWidth="1"/>
    <col min="3099" max="3099" width="15" style="46" customWidth="1"/>
    <col min="3100" max="3100" width="9.44140625" style="46" customWidth="1"/>
    <col min="3101" max="3101" width="10.5546875" style="46" customWidth="1"/>
    <col min="3102" max="3102" width="9.5546875" style="46" customWidth="1"/>
    <col min="3103" max="3103" width="11.44140625" style="46" customWidth="1"/>
    <col min="3104" max="3104" width="9.109375" style="46"/>
    <col min="3105" max="3105" width="12.5546875" style="46" bestFit="1" customWidth="1"/>
    <col min="3106" max="3106" width="20.109375" style="46" bestFit="1" customWidth="1"/>
    <col min="3107" max="3328" width="9.109375" style="46"/>
    <col min="3329" max="3329" width="5.44140625" style="46" customWidth="1"/>
    <col min="3330" max="3330" width="45.109375" style="46" customWidth="1"/>
    <col min="3331" max="3331" width="15.109375" style="46" customWidth="1"/>
    <col min="3332" max="3332" width="16.44140625" style="46" customWidth="1"/>
    <col min="3333" max="3333" width="17.109375" style="46" customWidth="1"/>
    <col min="3334" max="3336" width="0" style="46" hidden="1" customWidth="1"/>
    <col min="3337" max="3338" width="15.88671875" style="46" customWidth="1"/>
    <col min="3339" max="3339" width="11.109375" style="46" customWidth="1"/>
    <col min="3340" max="3340" width="11.88671875" style="46" customWidth="1"/>
    <col min="3341" max="3341" width="10.44140625" style="46" customWidth="1"/>
    <col min="3342" max="3342" width="16.44140625" style="46" customWidth="1"/>
    <col min="3343" max="3343" width="14.109375" style="46" customWidth="1"/>
    <col min="3344" max="3344" width="15.88671875" style="46" customWidth="1"/>
    <col min="3345" max="3346" width="0" style="46" hidden="1" customWidth="1"/>
    <col min="3347" max="3347" width="11.88671875" style="46" customWidth="1"/>
    <col min="3348" max="3348" width="15.88671875" style="46" customWidth="1"/>
    <col min="3349" max="3349" width="15.44140625" style="46" customWidth="1"/>
    <col min="3350" max="3350" width="12.44140625" style="46" customWidth="1"/>
    <col min="3351" max="3351" width="11.109375" style="46" customWidth="1"/>
    <col min="3352" max="3352" width="15.44140625" style="46" customWidth="1"/>
    <col min="3353" max="3354" width="0" style="46" hidden="1" customWidth="1"/>
    <col min="3355" max="3355" width="15" style="46" customWidth="1"/>
    <col min="3356" max="3356" width="9.44140625" style="46" customWidth="1"/>
    <col min="3357" max="3357" width="10.5546875" style="46" customWidth="1"/>
    <col min="3358" max="3358" width="9.5546875" style="46" customWidth="1"/>
    <col min="3359" max="3359" width="11.44140625" style="46" customWidth="1"/>
    <col min="3360" max="3360" width="9.109375" style="46"/>
    <col min="3361" max="3361" width="12.5546875" style="46" bestFit="1" customWidth="1"/>
    <col min="3362" max="3362" width="20.109375" style="46" bestFit="1" customWidth="1"/>
    <col min="3363" max="3584" width="9.109375" style="46"/>
    <col min="3585" max="3585" width="5.44140625" style="46" customWidth="1"/>
    <col min="3586" max="3586" width="45.109375" style="46" customWidth="1"/>
    <col min="3587" max="3587" width="15.109375" style="46" customWidth="1"/>
    <col min="3588" max="3588" width="16.44140625" style="46" customWidth="1"/>
    <col min="3589" max="3589" width="17.109375" style="46" customWidth="1"/>
    <col min="3590" max="3592" width="0" style="46" hidden="1" customWidth="1"/>
    <col min="3593" max="3594" width="15.88671875" style="46" customWidth="1"/>
    <col min="3595" max="3595" width="11.109375" style="46" customWidth="1"/>
    <col min="3596" max="3596" width="11.88671875" style="46" customWidth="1"/>
    <col min="3597" max="3597" width="10.44140625" style="46" customWidth="1"/>
    <col min="3598" max="3598" width="16.44140625" style="46" customWidth="1"/>
    <col min="3599" max="3599" width="14.109375" style="46" customWidth="1"/>
    <col min="3600" max="3600" width="15.88671875" style="46" customWidth="1"/>
    <col min="3601" max="3602" width="0" style="46" hidden="1" customWidth="1"/>
    <col min="3603" max="3603" width="11.88671875" style="46" customWidth="1"/>
    <col min="3604" max="3604" width="15.88671875" style="46" customWidth="1"/>
    <col min="3605" max="3605" width="15.44140625" style="46" customWidth="1"/>
    <col min="3606" max="3606" width="12.44140625" style="46" customWidth="1"/>
    <col min="3607" max="3607" width="11.109375" style="46" customWidth="1"/>
    <col min="3608" max="3608" width="15.44140625" style="46" customWidth="1"/>
    <col min="3609" max="3610" width="0" style="46" hidden="1" customWidth="1"/>
    <col min="3611" max="3611" width="15" style="46" customWidth="1"/>
    <col min="3612" max="3612" width="9.44140625" style="46" customWidth="1"/>
    <col min="3613" max="3613" width="10.5546875" style="46" customWidth="1"/>
    <col min="3614" max="3614" width="9.5546875" style="46" customWidth="1"/>
    <col min="3615" max="3615" width="11.44140625" style="46" customWidth="1"/>
    <col min="3616" max="3616" width="9.109375" style="46"/>
    <col min="3617" max="3617" width="12.5546875" style="46" bestFit="1" customWidth="1"/>
    <col min="3618" max="3618" width="20.109375" style="46" bestFit="1" customWidth="1"/>
    <col min="3619" max="3840" width="9.109375" style="46"/>
    <col min="3841" max="3841" width="5.44140625" style="46" customWidth="1"/>
    <col min="3842" max="3842" width="45.109375" style="46" customWidth="1"/>
    <col min="3843" max="3843" width="15.109375" style="46" customWidth="1"/>
    <col min="3844" max="3844" width="16.44140625" style="46" customWidth="1"/>
    <col min="3845" max="3845" width="17.109375" style="46" customWidth="1"/>
    <col min="3846" max="3848" width="0" style="46" hidden="1" customWidth="1"/>
    <col min="3849" max="3850" width="15.88671875" style="46" customWidth="1"/>
    <col min="3851" max="3851" width="11.109375" style="46" customWidth="1"/>
    <col min="3852" max="3852" width="11.88671875" style="46" customWidth="1"/>
    <col min="3853" max="3853" width="10.44140625" style="46" customWidth="1"/>
    <col min="3854" max="3854" width="16.44140625" style="46" customWidth="1"/>
    <col min="3855" max="3855" width="14.109375" style="46" customWidth="1"/>
    <col min="3856" max="3856" width="15.88671875" style="46" customWidth="1"/>
    <col min="3857" max="3858" width="0" style="46" hidden="1" customWidth="1"/>
    <col min="3859" max="3859" width="11.88671875" style="46" customWidth="1"/>
    <col min="3860" max="3860" width="15.88671875" style="46" customWidth="1"/>
    <col min="3861" max="3861" width="15.44140625" style="46" customWidth="1"/>
    <col min="3862" max="3862" width="12.44140625" style="46" customWidth="1"/>
    <col min="3863" max="3863" width="11.109375" style="46" customWidth="1"/>
    <col min="3864" max="3864" width="15.44140625" style="46" customWidth="1"/>
    <col min="3865" max="3866" width="0" style="46" hidden="1" customWidth="1"/>
    <col min="3867" max="3867" width="15" style="46" customWidth="1"/>
    <col min="3868" max="3868" width="9.44140625" style="46" customWidth="1"/>
    <col min="3869" max="3869" width="10.5546875" style="46" customWidth="1"/>
    <col min="3870" max="3870" width="9.5546875" style="46" customWidth="1"/>
    <col min="3871" max="3871" width="11.44140625" style="46" customWidth="1"/>
    <col min="3872" max="3872" width="9.109375" style="46"/>
    <col min="3873" max="3873" width="12.5546875" style="46" bestFit="1" customWidth="1"/>
    <col min="3874" max="3874" width="20.109375" style="46" bestFit="1" customWidth="1"/>
    <col min="3875" max="4096" width="9.109375" style="46"/>
    <col min="4097" max="4097" width="5.44140625" style="46" customWidth="1"/>
    <col min="4098" max="4098" width="45.109375" style="46" customWidth="1"/>
    <col min="4099" max="4099" width="15.109375" style="46" customWidth="1"/>
    <col min="4100" max="4100" width="16.44140625" style="46" customWidth="1"/>
    <col min="4101" max="4101" width="17.109375" style="46" customWidth="1"/>
    <col min="4102" max="4104" width="0" style="46" hidden="1" customWidth="1"/>
    <col min="4105" max="4106" width="15.88671875" style="46" customWidth="1"/>
    <col min="4107" max="4107" width="11.109375" style="46" customWidth="1"/>
    <col min="4108" max="4108" width="11.88671875" style="46" customWidth="1"/>
    <col min="4109" max="4109" width="10.44140625" style="46" customWidth="1"/>
    <col min="4110" max="4110" width="16.44140625" style="46" customWidth="1"/>
    <col min="4111" max="4111" width="14.109375" style="46" customWidth="1"/>
    <col min="4112" max="4112" width="15.88671875" style="46" customWidth="1"/>
    <col min="4113" max="4114" width="0" style="46" hidden="1" customWidth="1"/>
    <col min="4115" max="4115" width="11.88671875" style="46" customWidth="1"/>
    <col min="4116" max="4116" width="15.88671875" style="46" customWidth="1"/>
    <col min="4117" max="4117" width="15.44140625" style="46" customWidth="1"/>
    <col min="4118" max="4118" width="12.44140625" style="46" customWidth="1"/>
    <col min="4119" max="4119" width="11.109375" style="46" customWidth="1"/>
    <col min="4120" max="4120" width="15.44140625" style="46" customWidth="1"/>
    <col min="4121" max="4122" width="0" style="46" hidden="1" customWidth="1"/>
    <col min="4123" max="4123" width="15" style="46" customWidth="1"/>
    <col min="4124" max="4124" width="9.44140625" style="46" customWidth="1"/>
    <col min="4125" max="4125" width="10.5546875" style="46" customWidth="1"/>
    <col min="4126" max="4126" width="9.5546875" style="46" customWidth="1"/>
    <col min="4127" max="4127" width="11.44140625" style="46" customWidth="1"/>
    <col min="4128" max="4128" width="9.109375" style="46"/>
    <col min="4129" max="4129" width="12.5546875" style="46" bestFit="1" customWidth="1"/>
    <col min="4130" max="4130" width="20.109375" style="46" bestFit="1" customWidth="1"/>
    <col min="4131" max="4352" width="9.109375" style="46"/>
    <col min="4353" max="4353" width="5.44140625" style="46" customWidth="1"/>
    <col min="4354" max="4354" width="45.109375" style="46" customWidth="1"/>
    <col min="4355" max="4355" width="15.109375" style="46" customWidth="1"/>
    <col min="4356" max="4356" width="16.44140625" style="46" customWidth="1"/>
    <col min="4357" max="4357" width="17.109375" style="46" customWidth="1"/>
    <col min="4358" max="4360" width="0" style="46" hidden="1" customWidth="1"/>
    <col min="4361" max="4362" width="15.88671875" style="46" customWidth="1"/>
    <col min="4363" max="4363" width="11.109375" style="46" customWidth="1"/>
    <col min="4364" max="4364" width="11.88671875" style="46" customWidth="1"/>
    <col min="4365" max="4365" width="10.44140625" style="46" customWidth="1"/>
    <col min="4366" max="4366" width="16.44140625" style="46" customWidth="1"/>
    <col min="4367" max="4367" width="14.109375" style="46" customWidth="1"/>
    <col min="4368" max="4368" width="15.88671875" style="46" customWidth="1"/>
    <col min="4369" max="4370" width="0" style="46" hidden="1" customWidth="1"/>
    <col min="4371" max="4371" width="11.88671875" style="46" customWidth="1"/>
    <col min="4372" max="4372" width="15.88671875" style="46" customWidth="1"/>
    <col min="4373" max="4373" width="15.44140625" style="46" customWidth="1"/>
    <col min="4374" max="4374" width="12.44140625" style="46" customWidth="1"/>
    <col min="4375" max="4375" width="11.109375" style="46" customWidth="1"/>
    <col min="4376" max="4376" width="15.44140625" style="46" customWidth="1"/>
    <col min="4377" max="4378" width="0" style="46" hidden="1" customWidth="1"/>
    <col min="4379" max="4379" width="15" style="46" customWidth="1"/>
    <col min="4380" max="4380" width="9.44140625" style="46" customWidth="1"/>
    <col min="4381" max="4381" width="10.5546875" style="46" customWidth="1"/>
    <col min="4382" max="4382" width="9.5546875" style="46" customWidth="1"/>
    <col min="4383" max="4383" width="11.44140625" style="46" customWidth="1"/>
    <col min="4384" max="4384" width="9.109375" style="46"/>
    <col min="4385" max="4385" width="12.5546875" style="46" bestFit="1" customWidth="1"/>
    <col min="4386" max="4386" width="20.109375" style="46" bestFit="1" customWidth="1"/>
    <col min="4387" max="4608" width="9.109375" style="46"/>
    <col min="4609" max="4609" width="5.44140625" style="46" customWidth="1"/>
    <col min="4610" max="4610" width="45.109375" style="46" customWidth="1"/>
    <col min="4611" max="4611" width="15.109375" style="46" customWidth="1"/>
    <col min="4612" max="4612" width="16.44140625" style="46" customWidth="1"/>
    <col min="4613" max="4613" width="17.109375" style="46" customWidth="1"/>
    <col min="4614" max="4616" width="0" style="46" hidden="1" customWidth="1"/>
    <col min="4617" max="4618" width="15.88671875" style="46" customWidth="1"/>
    <col min="4619" max="4619" width="11.109375" style="46" customWidth="1"/>
    <col min="4620" max="4620" width="11.88671875" style="46" customWidth="1"/>
    <col min="4621" max="4621" width="10.44140625" style="46" customWidth="1"/>
    <col min="4622" max="4622" width="16.44140625" style="46" customWidth="1"/>
    <col min="4623" max="4623" width="14.109375" style="46" customWidth="1"/>
    <col min="4624" max="4624" width="15.88671875" style="46" customWidth="1"/>
    <col min="4625" max="4626" width="0" style="46" hidden="1" customWidth="1"/>
    <col min="4627" max="4627" width="11.88671875" style="46" customWidth="1"/>
    <col min="4628" max="4628" width="15.88671875" style="46" customWidth="1"/>
    <col min="4629" max="4629" width="15.44140625" style="46" customWidth="1"/>
    <col min="4630" max="4630" width="12.44140625" style="46" customWidth="1"/>
    <col min="4631" max="4631" width="11.109375" style="46" customWidth="1"/>
    <col min="4632" max="4632" width="15.44140625" style="46" customWidth="1"/>
    <col min="4633" max="4634" width="0" style="46" hidden="1" customWidth="1"/>
    <col min="4635" max="4635" width="15" style="46" customWidth="1"/>
    <col min="4636" max="4636" width="9.44140625" style="46" customWidth="1"/>
    <col min="4637" max="4637" width="10.5546875" style="46" customWidth="1"/>
    <col min="4638" max="4638" width="9.5546875" style="46" customWidth="1"/>
    <col min="4639" max="4639" width="11.44140625" style="46" customWidth="1"/>
    <col min="4640" max="4640" width="9.109375" style="46"/>
    <col min="4641" max="4641" width="12.5546875" style="46" bestFit="1" customWidth="1"/>
    <col min="4642" max="4642" width="20.109375" style="46" bestFit="1" customWidth="1"/>
    <col min="4643" max="4864" width="9.109375" style="46"/>
    <col min="4865" max="4865" width="5.44140625" style="46" customWidth="1"/>
    <col min="4866" max="4866" width="45.109375" style="46" customWidth="1"/>
    <col min="4867" max="4867" width="15.109375" style="46" customWidth="1"/>
    <col min="4868" max="4868" width="16.44140625" style="46" customWidth="1"/>
    <col min="4869" max="4869" width="17.109375" style="46" customWidth="1"/>
    <col min="4870" max="4872" width="0" style="46" hidden="1" customWidth="1"/>
    <col min="4873" max="4874" width="15.88671875" style="46" customWidth="1"/>
    <col min="4875" max="4875" width="11.109375" style="46" customWidth="1"/>
    <col min="4876" max="4876" width="11.88671875" style="46" customWidth="1"/>
    <col min="4877" max="4877" width="10.44140625" style="46" customWidth="1"/>
    <col min="4878" max="4878" width="16.44140625" style="46" customWidth="1"/>
    <col min="4879" max="4879" width="14.109375" style="46" customWidth="1"/>
    <col min="4880" max="4880" width="15.88671875" style="46" customWidth="1"/>
    <col min="4881" max="4882" width="0" style="46" hidden="1" customWidth="1"/>
    <col min="4883" max="4883" width="11.88671875" style="46" customWidth="1"/>
    <col min="4884" max="4884" width="15.88671875" style="46" customWidth="1"/>
    <col min="4885" max="4885" width="15.44140625" style="46" customWidth="1"/>
    <col min="4886" max="4886" width="12.44140625" style="46" customWidth="1"/>
    <col min="4887" max="4887" width="11.109375" style="46" customWidth="1"/>
    <col min="4888" max="4888" width="15.44140625" style="46" customWidth="1"/>
    <col min="4889" max="4890" width="0" style="46" hidden="1" customWidth="1"/>
    <col min="4891" max="4891" width="15" style="46" customWidth="1"/>
    <col min="4892" max="4892" width="9.44140625" style="46" customWidth="1"/>
    <col min="4893" max="4893" width="10.5546875" style="46" customWidth="1"/>
    <col min="4894" max="4894" width="9.5546875" style="46" customWidth="1"/>
    <col min="4895" max="4895" width="11.44140625" style="46" customWidth="1"/>
    <col min="4896" max="4896" width="9.109375" style="46"/>
    <col min="4897" max="4897" width="12.5546875" style="46" bestFit="1" customWidth="1"/>
    <col min="4898" max="4898" width="20.109375" style="46" bestFit="1" customWidth="1"/>
    <col min="4899" max="5120" width="9.109375" style="46"/>
    <col min="5121" max="5121" width="5.44140625" style="46" customWidth="1"/>
    <col min="5122" max="5122" width="45.109375" style="46" customWidth="1"/>
    <col min="5123" max="5123" width="15.109375" style="46" customWidth="1"/>
    <col min="5124" max="5124" width="16.44140625" style="46" customWidth="1"/>
    <col min="5125" max="5125" width="17.109375" style="46" customWidth="1"/>
    <col min="5126" max="5128" width="0" style="46" hidden="1" customWidth="1"/>
    <col min="5129" max="5130" width="15.88671875" style="46" customWidth="1"/>
    <col min="5131" max="5131" width="11.109375" style="46" customWidth="1"/>
    <col min="5132" max="5132" width="11.88671875" style="46" customWidth="1"/>
    <col min="5133" max="5133" width="10.44140625" style="46" customWidth="1"/>
    <col min="5134" max="5134" width="16.44140625" style="46" customWidth="1"/>
    <col min="5135" max="5135" width="14.109375" style="46" customWidth="1"/>
    <col min="5136" max="5136" width="15.88671875" style="46" customWidth="1"/>
    <col min="5137" max="5138" width="0" style="46" hidden="1" customWidth="1"/>
    <col min="5139" max="5139" width="11.88671875" style="46" customWidth="1"/>
    <col min="5140" max="5140" width="15.88671875" style="46" customWidth="1"/>
    <col min="5141" max="5141" width="15.44140625" style="46" customWidth="1"/>
    <col min="5142" max="5142" width="12.44140625" style="46" customWidth="1"/>
    <col min="5143" max="5143" width="11.109375" style="46" customWidth="1"/>
    <col min="5144" max="5144" width="15.44140625" style="46" customWidth="1"/>
    <col min="5145" max="5146" width="0" style="46" hidden="1" customWidth="1"/>
    <col min="5147" max="5147" width="15" style="46" customWidth="1"/>
    <col min="5148" max="5148" width="9.44140625" style="46" customWidth="1"/>
    <col min="5149" max="5149" width="10.5546875" style="46" customWidth="1"/>
    <col min="5150" max="5150" width="9.5546875" style="46" customWidth="1"/>
    <col min="5151" max="5151" width="11.44140625" style="46" customWidth="1"/>
    <col min="5152" max="5152" width="9.109375" style="46"/>
    <col min="5153" max="5153" width="12.5546875" style="46" bestFit="1" customWidth="1"/>
    <col min="5154" max="5154" width="20.109375" style="46" bestFit="1" customWidth="1"/>
    <col min="5155" max="5376" width="9.109375" style="46"/>
    <col min="5377" max="5377" width="5.44140625" style="46" customWidth="1"/>
    <col min="5378" max="5378" width="45.109375" style="46" customWidth="1"/>
    <col min="5379" max="5379" width="15.109375" style="46" customWidth="1"/>
    <col min="5380" max="5380" width="16.44140625" style="46" customWidth="1"/>
    <col min="5381" max="5381" width="17.109375" style="46" customWidth="1"/>
    <col min="5382" max="5384" width="0" style="46" hidden="1" customWidth="1"/>
    <col min="5385" max="5386" width="15.88671875" style="46" customWidth="1"/>
    <col min="5387" max="5387" width="11.109375" style="46" customWidth="1"/>
    <col min="5388" max="5388" width="11.88671875" style="46" customWidth="1"/>
    <col min="5389" max="5389" width="10.44140625" style="46" customWidth="1"/>
    <col min="5390" max="5390" width="16.44140625" style="46" customWidth="1"/>
    <col min="5391" max="5391" width="14.109375" style="46" customWidth="1"/>
    <col min="5392" max="5392" width="15.88671875" style="46" customWidth="1"/>
    <col min="5393" max="5394" width="0" style="46" hidden="1" customWidth="1"/>
    <col min="5395" max="5395" width="11.88671875" style="46" customWidth="1"/>
    <col min="5396" max="5396" width="15.88671875" style="46" customWidth="1"/>
    <col min="5397" max="5397" width="15.44140625" style="46" customWidth="1"/>
    <col min="5398" max="5398" width="12.44140625" style="46" customWidth="1"/>
    <col min="5399" max="5399" width="11.109375" style="46" customWidth="1"/>
    <col min="5400" max="5400" width="15.44140625" style="46" customWidth="1"/>
    <col min="5401" max="5402" width="0" style="46" hidden="1" customWidth="1"/>
    <col min="5403" max="5403" width="15" style="46" customWidth="1"/>
    <col min="5404" max="5404" width="9.44140625" style="46" customWidth="1"/>
    <col min="5405" max="5405" width="10.5546875" style="46" customWidth="1"/>
    <col min="5406" max="5406" width="9.5546875" style="46" customWidth="1"/>
    <col min="5407" max="5407" width="11.44140625" style="46" customWidth="1"/>
    <col min="5408" max="5408" width="9.109375" style="46"/>
    <col min="5409" max="5409" width="12.5546875" style="46" bestFit="1" customWidth="1"/>
    <col min="5410" max="5410" width="20.109375" style="46" bestFit="1" customWidth="1"/>
    <col min="5411" max="5632" width="9.109375" style="46"/>
    <col min="5633" max="5633" width="5.44140625" style="46" customWidth="1"/>
    <col min="5634" max="5634" width="45.109375" style="46" customWidth="1"/>
    <col min="5635" max="5635" width="15.109375" style="46" customWidth="1"/>
    <col min="5636" max="5636" width="16.44140625" style="46" customWidth="1"/>
    <col min="5637" max="5637" width="17.109375" style="46" customWidth="1"/>
    <col min="5638" max="5640" width="0" style="46" hidden="1" customWidth="1"/>
    <col min="5641" max="5642" width="15.88671875" style="46" customWidth="1"/>
    <col min="5643" max="5643" width="11.109375" style="46" customWidth="1"/>
    <col min="5644" max="5644" width="11.88671875" style="46" customWidth="1"/>
    <col min="5645" max="5645" width="10.44140625" style="46" customWidth="1"/>
    <col min="5646" max="5646" width="16.44140625" style="46" customWidth="1"/>
    <col min="5647" max="5647" width="14.109375" style="46" customWidth="1"/>
    <col min="5648" max="5648" width="15.88671875" style="46" customWidth="1"/>
    <col min="5649" max="5650" width="0" style="46" hidden="1" customWidth="1"/>
    <col min="5651" max="5651" width="11.88671875" style="46" customWidth="1"/>
    <col min="5652" max="5652" width="15.88671875" style="46" customWidth="1"/>
    <col min="5653" max="5653" width="15.44140625" style="46" customWidth="1"/>
    <col min="5654" max="5654" width="12.44140625" style="46" customWidth="1"/>
    <col min="5655" max="5655" width="11.109375" style="46" customWidth="1"/>
    <col min="5656" max="5656" width="15.44140625" style="46" customWidth="1"/>
    <col min="5657" max="5658" width="0" style="46" hidden="1" customWidth="1"/>
    <col min="5659" max="5659" width="15" style="46" customWidth="1"/>
    <col min="5660" max="5660" width="9.44140625" style="46" customWidth="1"/>
    <col min="5661" max="5661" width="10.5546875" style="46" customWidth="1"/>
    <col min="5662" max="5662" width="9.5546875" style="46" customWidth="1"/>
    <col min="5663" max="5663" width="11.44140625" style="46" customWidth="1"/>
    <col min="5664" max="5664" width="9.109375" style="46"/>
    <col min="5665" max="5665" width="12.5546875" style="46" bestFit="1" customWidth="1"/>
    <col min="5666" max="5666" width="20.109375" style="46" bestFit="1" customWidth="1"/>
    <col min="5667" max="5888" width="9.109375" style="46"/>
    <col min="5889" max="5889" width="5.44140625" style="46" customWidth="1"/>
    <col min="5890" max="5890" width="45.109375" style="46" customWidth="1"/>
    <col min="5891" max="5891" width="15.109375" style="46" customWidth="1"/>
    <col min="5892" max="5892" width="16.44140625" style="46" customWidth="1"/>
    <col min="5893" max="5893" width="17.109375" style="46" customWidth="1"/>
    <col min="5894" max="5896" width="0" style="46" hidden="1" customWidth="1"/>
    <col min="5897" max="5898" width="15.88671875" style="46" customWidth="1"/>
    <col min="5899" max="5899" width="11.109375" style="46" customWidth="1"/>
    <col min="5900" max="5900" width="11.88671875" style="46" customWidth="1"/>
    <col min="5901" max="5901" width="10.44140625" style="46" customWidth="1"/>
    <col min="5902" max="5902" width="16.44140625" style="46" customWidth="1"/>
    <col min="5903" max="5903" width="14.109375" style="46" customWidth="1"/>
    <col min="5904" max="5904" width="15.88671875" style="46" customWidth="1"/>
    <col min="5905" max="5906" width="0" style="46" hidden="1" customWidth="1"/>
    <col min="5907" max="5907" width="11.88671875" style="46" customWidth="1"/>
    <col min="5908" max="5908" width="15.88671875" style="46" customWidth="1"/>
    <col min="5909" max="5909" width="15.44140625" style="46" customWidth="1"/>
    <col min="5910" max="5910" width="12.44140625" style="46" customWidth="1"/>
    <col min="5911" max="5911" width="11.109375" style="46" customWidth="1"/>
    <col min="5912" max="5912" width="15.44140625" style="46" customWidth="1"/>
    <col min="5913" max="5914" width="0" style="46" hidden="1" customWidth="1"/>
    <col min="5915" max="5915" width="15" style="46" customWidth="1"/>
    <col min="5916" max="5916" width="9.44140625" style="46" customWidth="1"/>
    <col min="5917" max="5917" width="10.5546875" style="46" customWidth="1"/>
    <col min="5918" max="5918" width="9.5546875" style="46" customWidth="1"/>
    <col min="5919" max="5919" width="11.44140625" style="46" customWidth="1"/>
    <col min="5920" max="5920" width="9.109375" style="46"/>
    <col min="5921" max="5921" width="12.5546875" style="46" bestFit="1" customWidth="1"/>
    <col min="5922" max="5922" width="20.109375" style="46" bestFit="1" customWidth="1"/>
    <col min="5923" max="6144" width="9.109375" style="46"/>
    <col min="6145" max="6145" width="5.44140625" style="46" customWidth="1"/>
    <col min="6146" max="6146" width="45.109375" style="46" customWidth="1"/>
    <col min="6147" max="6147" width="15.109375" style="46" customWidth="1"/>
    <col min="6148" max="6148" width="16.44140625" style="46" customWidth="1"/>
    <col min="6149" max="6149" width="17.109375" style="46" customWidth="1"/>
    <col min="6150" max="6152" width="0" style="46" hidden="1" customWidth="1"/>
    <col min="6153" max="6154" width="15.88671875" style="46" customWidth="1"/>
    <col min="6155" max="6155" width="11.109375" style="46" customWidth="1"/>
    <col min="6156" max="6156" width="11.88671875" style="46" customWidth="1"/>
    <col min="6157" max="6157" width="10.44140625" style="46" customWidth="1"/>
    <col min="6158" max="6158" width="16.44140625" style="46" customWidth="1"/>
    <col min="6159" max="6159" width="14.109375" style="46" customWidth="1"/>
    <col min="6160" max="6160" width="15.88671875" style="46" customWidth="1"/>
    <col min="6161" max="6162" width="0" style="46" hidden="1" customWidth="1"/>
    <col min="6163" max="6163" width="11.88671875" style="46" customWidth="1"/>
    <col min="6164" max="6164" width="15.88671875" style="46" customWidth="1"/>
    <col min="6165" max="6165" width="15.44140625" style="46" customWidth="1"/>
    <col min="6166" max="6166" width="12.44140625" style="46" customWidth="1"/>
    <col min="6167" max="6167" width="11.109375" style="46" customWidth="1"/>
    <col min="6168" max="6168" width="15.44140625" style="46" customWidth="1"/>
    <col min="6169" max="6170" width="0" style="46" hidden="1" customWidth="1"/>
    <col min="6171" max="6171" width="15" style="46" customWidth="1"/>
    <col min="6172" max="6172" width="9.44140625" style="46" customWidth="1"/>
    <col min="6173" max="6173" width="10.5546875" style="46" customWidth="1"/>
    <col min="6174" max="6174" width="9.5546875" style="46" customWidth="1"/>
    <col min="6175" max="6175" width="11.44140625" style="46" customWidth="1"/>
    <col min="6176" max="6176" width="9.109375" style="46"/>
    <col min="6177" max="6177" width="12.5546875" style="46" bestFit="1" customWidth="1"/>
    <col min="6178" max="6178" width="20.109375" style="46" bestFit="1" customWidth="1"/>
    <col min="6179" max="6400" width="9.109375" style="46"/>
    <col min="6401" max="6401" width="5.44140625" style="46" customWidth="1"/>
    <col min="6402" max="6402" width="45.109375" style="46" customWidth="1"/>
    <col min="6403" max="6403" width="15.109375" style="46" customWidth="1"/>
    <col min="6404" max="6404" width="16.44140625" style="46" customWidth="1"/>
    <col min="6405" max="6405" width="17.109375" style="46" customWidth="1"/>
    <col min="6406" max="6408" width="0" style="46" hidden="1" customWidth="1"/>
    <col min="6409" max="6410" width="15.88671875" style="46" customWidth="1"/>
    <col min="6411" max="6411" width="11.109375" style="46" customWidth="1"/>
    <col min="6412" max="6412" width="11.88671875" style="46" customWidth="1"/>
    <col min="6413" max="6413" width="10.44140625" style="46" customWidth="1"/>
    <col min="6414" max="6414" width="16.44140625" style="46" customWidth="1"/>
    <col min="6415" max="6415" width="14.109375" style="46" customWidth="1"/>
    <col min="6416" max="6416" width="15.88671875" style="46" customWidth="1"/>
    <col min="6417" max="6418" width="0" style="46" hidden="1" customWidth="1"/>
    <col min="6419" max="6419" width="11.88671875" style="46" customWidth="1"/>
    <col min="6420" max="6420" width="15.88671875" style="46" customWidth="1"/>
    <col min="6421" max="6421" width="15.44140625" style="46" customWidth="1"/>
    <col min="6422" max="6422" width="12.44140625" style="46" customWidth="1"/>
    <col min="6423" max="6423" width="11.109375" style="46" customWidth="1"/>
    <col min="6424" max="6424" width="15.44140625" style="46" customWidth="1"/>
    <col min="6425" max="6426" width="0" style="46" hidden="1" customWidth="1"/>
    <col min="6427" max="6427" width="15" style="46" customWidth="1"/>
    <col min="6428" max="6428" width="9.44140625" style="46" customWidth="1"/>
    <col min="6429" max="6429" width="10.5546875" style="46" customWidth="1"/>
    <col min="6430" max="6430" width="9.5546875" style="46" customWidth="1"/>
    <col min="6431" max="6431" width="11.44140625" style="46" customWidth="1"/>
    <col min="6432" max="6432" width="9.109375" style="46"/>
    <col min="6433" max="6433" width="12.5546875" style="46" bestFit="1" customWidth="1"/>
    <col min="6434" max="6434" width="20.109375" style="46" bestFit="1" customWidth="1"/>
    <col min="6435" max="6656" width="9.109375" style="46"/>
    <col min="6657" max="6657" width="5.44140625" style="46" customWidth="1"/>
    <col min="6658" max="6658" width="45.109375" style="46" customWidth="1"/>
    <col min="6659" max="6659" width="15.109375" style="46" customWidth="1"/>
    <col min="6660" max="6660" width="16.44140625" style="46" customWidth="1"/>
    <col min="6661" max="6661" width="17.109375" style="46" customWidth="1"/>
    <col min="6662" max="6664" width="0" style="46" hidden="1" customWidth="1"/>
    <col min="6665" max="6666" width="15.88671875" style="46" customWidth="1"/>
    <col min="6667" max="6667" width="11.109375" style="46" customWidth="1"/>
    <col min="6668" max="6668" width="11.88671875" style="46" customWidth="1"/>
    <col min="6669" max="6669" width="10.44140625" style="46" customWidth="1"/>
    <col min="6670" max="6670" width="16.44140625" style="46" customWidth="1"/>
    <col min="6671" max="6671" width="14.109375" style="46" customWidth="1"/>
    <col min="6672" max="6672" width="15.88671875" style="46" customWidth="1"/>
    <col min="6673" max="6674" width="0" style="46" hidden="1" customWidth="1"/>
    <col min="6675" max="6675" width="11.88671875" style="46" customWidth="1"/>
    <col min="6676" max="6676" width="15.88671875" style="46" customWidth="1"/>
    <col min="6677" max="6677" width="15.44140625" style="46" customWidth="1"/>
    <col min="6678" max="6678" width="12.44140625" style="46" customWidth="1"/>
    <col min="6679" max="6679" width="11.109375" style="46" customWidth="1"/>
    <col min="6680" max="6680" width="15.44140625" style="46" customWidth="1"/>
    <col min="6681" max="6682" width="0" style="46" hidden="1" customWidth="1"/>
    <col min="6683" max="6683" width="15" style="46" customWidth="1"/>
    <col min="6684" max="6684" width="9.44140625" style="46" customWidth="1"/>
    <col min="6685" max="6685" width="10.5546875" style="46" customWidth="1"/>
    <col min="6686" max="6686" width="9.5546875" style="46" customWidth="1"/>
    <col min="6687" max="6687" width="11.44140625" style="46" customWidth="1"/>
    <col min="6688" max="6688" width="9.109375" style="46"/>
    <col min="6689" max="6689" width="12.5546875" style="46" bestFit="1" customWidth="1"/>
    <col min="6690" max="6690" width="20.109375" style="46" bestFit="1" customWidth="1"/>
    <col min="6691" max="6912" width="9.109375" style="46"/>
    <col min="6913" max="6913" width="5.44140625" style="46" customWidth="1"/>
    <col min="6914" max="6914" width="45.109375" style="46" customWidth="1"/>
    <col min="6915" max="6915" width="15.109375" style="46" customWidth="1"/>
    <col min="6916" max="6916" width="16.44140625" style="46" customWidth="1"/>
    <col min="6917" max="6917" width="17.109375" style="46" customWidth="1"/>
    <col min="6918" max="6920" width="0" style="46" hidden="1" customWidth="1"/>
    <col min="6921" max="6922" width="15.88671875" style="46" customWidth="1"/>
    <col min="6923" max="6923" width="11.109375" style="46" customWidth="1"/>
    <col min="6924" max="6924" width="11.88671875" style="46" customWidth="1"/>
    <col min="6925" max="6925" width="10.44140625" style="46" customWidth="1"/>
    <col min="6926" max="6926" width="16.44140625" style="46" customWidth="1"/>
    <col min="6927" max="6927" width="14.109375" style="46" customWidth="1"/>
    <col min="6928" max="6928" width="15.88671875" style="46" customWidth="1"/>
    <col min="6929" max="6930" width="0" style="46" hidden="1" customWidth="1"/>
    <col min="6931" max="6931" width="11.88671875" style="46" customWidth="1"/>
    <col min="6932" max="6932" width="15.88671875" style="46" customWidth="1"/>
    <col min="6933" max="6933" width="15.44140625" style="46" customWidth="1"/>
    <col min="6934" max="6934" width="12.44140625" style="46" customWidth="1"/>
    <col min="6935" max="6935" width="11.109375" style="46" customWidth="1"/>
    <col min="6936" max="6936" width="15.44140625" style="46" customWidth="1"/>
    <col min="6937" max="6938" width="0" style="46" hidden="1" customWidth="1"/>
    <col min="6939" max="6939" width="15" style="46" customWidth="1"/>
    <col min="6940" max="6940" width="9.44140625" style="46" customWidth="1"/>
    <col min="6941" max="6941" width="10.5546875" style="46" customWidth="1"/>
    <col min="6942" max="6942" width="9.5546875" style="46" customWidth="1"/>
    <col min="6943" max="6943" width="11.44140625" style="46" customWidth="1"/>
    <col min="6944" max="6944" width="9.109375" style="46"/>
    <col min="6945" max="6945" width="12.5546875" style="46" bestFit="1" customWidth="1"/>
    <col min="6946" max="6946" width="20.109375" style="46" bestFit="1" customWidth="1"/>
    <col min="6947" max="7168" width="9.109375" style="46"/>
    <col min="7169" max="7169" width="5.44140625" style="46" customWidth="1"/>
    <col min="7170" max="7170" width="45.109375" style="46" customWidth="1"/>
    <col min="7171" max="7171" width="15.109375" style="46" customWidth="1"/>
    <col min="7172" max="7172" width="16.44140625" style="46" customWidth="1"/>
    <col min="7173" max="7173" width="17.109375" style="46" customWidth="1"/>
    <col min="7174" max="7176" width="0" style="46" hidden="1" customWidth="1"/>
    <col min="7177" max="7178" width="15.88671875" style="46" customWidth="1"/>
    <col min="7179" max="7179" width="11.109375" style="46" customWidth="1"/>
    <col min="7180" max="7180" width="11.88671875" style="46" customWidth="1"/>
    <col min="7181" max="7181" width="10.44140625" style="46" customWidth="1"/>
    <col min="7182" max="7182" width="16.44140625" style="46" customWidth="1"/>
    <col min="7183" max="7183" width="14.109375" style="46" customWidth="1"/>
    <col min="7184" max="7184" width="15.88671875" style="46" customWidth="1"/>
    <col min="7185" max="7186" width="0" style="46" hidden="1" customWidth="1"/>
    <col min="7187" max="7187" width="11.88671875" style="46" customWidth="1"/>
    <col min="7188" max="7188" width="15.88671875" style="46" customWidth="1"/>
    <col min="7189" max="7189" width="15.44140625" style="46" customWidth="1"/>
    <col min="7190" max="7190" width="12.44140625" style="46" customWidth="1"/>
    <col min="7191" max="7191" width="11.109375" style="46" customWidth="1"/>
    <col min="7192" max="7192" width="15.44140625" style="46" customWidth="1"/>
    <col min="7193" max="7194" width="0" style="46" hidden="1" customWidth="1"/>
    <col min="7195" max="7195" width="15" style="46" customWidth="1"/>
    <col min="7196" max="7196" width="9.44140625" style="46" customWidth="1"/>
    <col min="7197" max="7197" width="10.5546875" style="46" customWidth="1"/>
    <col min="7198" max="7198" width="9.5546875" style="46" customWidth="1"/>
    <col min="7199" max="7199" width="11.44140625" style="46" customWidth="1"/>
    <col min="7200" max="7200" width="9.109375" style="46"/>
    <col min="7201" max="7201" width="12.5546875" style="46" bestFit="1" customWidth="1"/>
    <col min="7202" max="7202" width="20.109375" style="46" bestFit="1" customWidth="1"/>
    <col min="7203" max="7424" width="9.109375" style="46"/>
    <col min="7425" max="7425" width="5.44140625" style="46" customWidth="1"/>
    <col min="7426" max="7426" width="45.109375" style="46" customWidth="1"/>
    <col min="7427" max="7427" width="15.109375" style="46" customWidth="1"/>
    <col min="7428" max="7428" width="16.44140625" style="46" customWidth="1"/>
    <col min="7429" max="7429" width="17.109375" style="46" customWidth="1"/>
    <col min="7430" max="7432" width="0" style="46" hidden="1" customWidth="1"/>
    <col min="7433" max="7434" width="15.88671875" style="46" customWidth="1"/>
    <col min="7435" max="7435" width="11.109375" style="46" customWidth="1"/>
    <col min="7436" max="7436" width="11.88671875" style="46" customWidth="1"/>
    <col min="7437" max="7437" width="10.44140625" style="46" customWidth="1"/>
    <col min="7438" max="7438" width="16.44140625" style="46" customWidth="1"/>
    <col min="7439" max="7439" width="14.109375" style="46" customWidth="1"/>
    <col min="7440" max="7440" width="15.88671875" style="46" customWidth="1"/>
    <col min="7441" max="7442" width="0" style="46" hidden="1" customWidth="1"/>
    <col min="7443" max="7443" width="11.88671875" style="46" customWidth="1"/>
    <col min="7444" max="7444" width="15.88671875" style="46" customWidth="1"/>
    <col min="7445" max="7445" width="15.44140625" style="46" customWidth="1"/>
    <col min="7446" max="7446" width="12.44140625" style="46" customWidth="1"/>
    <col min="7447" max="7447" width="11.109375" style="46" customWidth="1"/>
    <col min="7448" max="7448" width="15.44140625" style="46" customWidth="1"/>
    <col min="7449" max="7450" width="0" style="46" hidden="1" customWidth="1"/>
    <col min="7451" max="7451" width="15" style="46" customWidth="1"/>
    <col min="7452" max="7452" width="9.44140625" style="46" customWidth="1"/>
    <col min="7453" max="7453" width="10.5546875" style="46" customWidth="1"/>
    <col min="7454" max="7454" width="9.5546875" style="46" customWidth="1"/>
    <col min="7455" max="7455" width="11.44140625" style="46" customWidth="1"/>
    <col min="7456" max="7456" width="9.109375" style="46"/>
    <col min="7457" max="7457" width="12.5546875" style="46" bestFit="1" customWidth="1"/>
    <col min="7458" max="7458" width="20.109375" style="46" bestFit="1" customWidth="1"/>
    <col min="7459" max="7680" width="9.109375" style="46"/>
    <col min="7681" max="7681" width="5.44140625" style="46" customWidth="1"/>
    <col min="7682" max="7682" width="45.109375" style="46" customWidth="1"/>
    <col min="7683" max="7683" width="15.109375" style="46" customWidth="1"/>
    <col min="7684" max="7684" width="16.44140625" style="46" customWidth="1"/>
    <col min="7685" max="7685" width="17.109375" style="46" customWidth="1"/>
    <col min="7686" max="7688" width="0" style="46" hidden="1" customWidth="1"/>
    <col min="7689" max="7690" width="15.88671875" style="46" customWidth="1"/>
    <col min="7691" max="7691" width="11.109375" style="46" customWidth="1"/>
    <col min="7692" max="7692" width="11.88671875" style="46" customWidth="1"/>
    <col min="7693" max="7693" width="10.44140625" style="46" customWidth="1"/>
    <col min="7694" max="7694" width="16.44140625" style="46" customWidth="1"/>
    <col min="7695" max="7695" width="14.109375" style="46" customWidth="1"/>
    <col min="7696" max="7696" width="15.88671875" style="46" customWidth="1"/>
    <col min="7697" max="7698" width="0" style="46" hidden="1" customWidth="1"/>
    <col min="7699" max="7699" width="11.88671875" style="46" customWidth="1"/>
    <col min="7700" max="7700" width="15.88671875" style="46" customWidth="1"/>
    <col min="7701" max="7701" width="15.44140625" style="46" customWidth="1"/>
    <col min="7702" max="7702" width="12.44140625" style="46" customWidth="1"/>
    <col min="7703" max="7703" width="11.109375" style="46" customWidth="1"/>
    <col min="7704" max="7704" width="15.44140625" style="46" customWidth="1"/>
    <col min="7705" max="7706" width="0" style="46" hidden="1" customWidth="1"/>
    <col min="7707" max="7707" width="15" style="46" customWidth="1"/>
    <col min="7708" max="7708" width="9.44140625" style="46" customWidth="1"/>
    <col min="7709" max="7709" width="10.5546875" style="46" customWidth="1"/>
    <col min="7710" max="7710" width="9.5546875" style="46" customWidth="1"/>
    <col min="7711" max="7711" width="11.44140625" style="46" customWidth="1"/>
    <col min="7712" max="7712" width="9.109375" style="46"/>
    <col min="7713" max="7713" width="12.5546875" style="46" bestFit="1" customWidth="1"/>
    <col min="7714" max="7714" width="20.109375" style="46" bestFit="1" customWidth="1"/>
    <col min="7715" max="7936" width="9.109375" style="46"/>
    <col min="7937" max="7937" width="5.44140625" style="46" customWidth="1"/>
    <col min="7938" max="7938" width="45.109375" style="46" customWidth="1"/>
    <col min="7939" max="7939" width="15.109375" style="46" customWidth="1"/>
    <col min="7940" max="7940" width="16.44140625" style="46" customWidth="1"/>
    <col min="7941" max="7941" width="17.109375" style="46" customWidth="1"/>
    <col min="7942" max="7944" width="0" style="46" hidden="1" customWidth="1"/>
    <col min="7945" max="7946" width="15.88671875" style="46" customWidth="1"/>
    <col min="7947" max="7947" width="11.109375" style="46" customWidth="1"/>
    <col min="7948" max="7948" width="11.88671875" style="46" customWidth="1"/>
    <col min="7949" max="7949" width="10.44140625" style="46" customWidth="1"/>
    <col min="7950" max="7950" width="16.44140625" style="46" customWidth="1"/>
    <col min="7951" max="7951" width="14.109375" style="46" customWidth="1"/>
    <col min="7952" max="7952" width="15.88671875" style="46" customWidth="1"/>
    <col min="7953" max="7954" width="0" style="46" hidden="1" customWidth="1"/>
    <col min="7955" max="7955" width="11.88671875" style="46" customWidth="1"/>
    <col min="7956" max="7956" width="15.88671875" style="46" customWidth="1"/>
    <col min="7957" max="7957" width="15.44140625" style="46" customWidth="1"/>
    <col min="7958" max="7958" width="12.44140625" style="46" customWidth="1"/>
    <col min="7959" max="7959" width="11.109375" style="46" customWidth="1"/>
    <col min="7960" max="7960" width="15.44140625" style="46" customWidth="1"/>
    <col min="7961" max="7962" width="0" style="46" hidden="1" customWidth="1"/>
    <col min="7963" max="7963" width="15" style="46" customWidth="1"/>
    <col min="7964" max="7964" width="9.44140625" style="46" customWidth="1"/>
    <col min="7965" max="7965" width="10.5546875" style="46" customWidth="1"/>
    <col min="7966" max="7966" width="9.5546875" style="46" customWidth="1"/>
    <col min="7967" max="7967" width="11.44140625" style="46" customWidth="1"/>
    <col min="7968" max="7968" width="9.109375" style="46"/>
    <col min="7969" max="7969" width="12.5546875" style="46" bestFit="1" customWidth="1"/>
    <col min="7970" max="7970" width="20.109375" style="46" bestFit="1" customWidth="1"/>
    <col min="7971" max="8192" width="9.109375" style="46"/>
    <col min="8193" max="8193" width="5.44140625" style="46" customWidth="1"/>
    <col min="8194" max="8194" width="45.109375" style="46" customWidth="1"/>
    <col min="8195" max="8195" width="15.109375" style="46" customWidth="1"/>
    <col min="8196" max="8196" width="16.44140625" style="46" customWidth="1"/>
    <col min="8197" max="8197" width="17.109375" style="46" customWidth="1"/>
    <col min="8198" max="8200" width="0" style="46" hidden="1" customWidth="1"/>
    <col min="8201" max="8202" width="15.88671875" style="46" customWidth="1"/>
    <col min="8203" max="8203" width="11.109375" style="46" customWidth="1"/>
    <col min="8204" max="8204" width="11.88671875" style="46" customWidth="1"/>
    <col min="8205" max="8205" width="10.44140625" style="46" customWidth="1"/>
    <col min="8206" max="8206" width="16.44140625" style="46" customWidth="1"/>
    <col min="8207" max="8207" width="14.109375" style="46" customWidth="1"/>
    <col min="8208" max="8208" width="15.88671875" style="46" customWidth="1"/>
    <col min="8209" max="8210" width="0" style="46" hidden="1" customWidth="1"/>
    <col min="8211" max="8211" width="11.88671875" style="46" customWidth="1"/>
    <col min="8212" max="8212" width="15.88671875" style="46" customWidth="1"/>
    <col min="8213" max="8213" width="15.44140625" style="46" customWidth="1"/>
    <col min="8214" max="8214" width="12.44140625" style="46" customWidth="1"/>
    <col min="8215" max="8215" width="11.109375" style="46" customWidth="1"/>
    <col min="8216" max="8216" width="15.44140625" style="46" customWidth="1"/>
    <col min="8217" max="8218" width="0" style="46" hidden="1" customWidth="1"/>
    <col min="8219" max="8219" width="15" style="46" customWidth="1"/>
    <col min="8220" max="8220" width="9.44140625" style="46" customWidth="1"/>
    <col min="8221" max="8221" width="10.5546875" style="46" customWidth="1"/>
    <col min="8222" max="8222" width="9.5546875" style="46" customWidth="1"/>
    <col min="8223" max="8223" width="11.44140625" style="46" customWidth="1"/>
    <col min="8224" max="8224" width="9.109375" style="46"/>
    <col min="8225" max="8225" width="12.5546875" style="46" bestFit="1" customWidth="1"/>
    <col min="8226" max="8226" width="20.109375" style="46" bestFit="1" customWidth="1"/>
    <col min="8227" max="8448" width="9.109375" style="46"/>
    <col min="8449" max="8449" width="5.44140625" style="46" customWidth="1"/>
    <col min="8450" max="8450" width="45.109375" style="46" customWidth="1"/>
    <col min="8451" max="8451" width="15.109375" style="46" customWidth="1"/>
    <col min="8452" max="8452" width="16.44140625" style="46" customWidth="1"/>
    <col min="8453" max="8453" width="17.109375" style="46" customWidth="1"/>
    <col min="8454" max="8456" width="0" style="46" hidden="1" customWidth="1"/>
    <col min="8457" max="8458" width="15.88671875" style="46" customWidth="1"/>
    <col min="8459" max="8459" width="11.109375" style="46" customWidth="1"/>
    <col min="8460" max="8460" width="11.88671875" style="46" customWidth="1"/>
    <col min="8461" max="8461" width="10.44140625" style="46" customWidth="1"/>
    <col min="8462" max="8462" width="16.44140625" style="46" customWidth="1"/>
    <col min="8463" max="8463" width="14.109375" style="46" customWidth="1"/>
    <col min="8464" max="8464" width="15.88671875" style="46" customWidth="1"/>
    <col min="8465" max="8466" width="0" style="46" hidden="1" customWidth="1"/>
    <col min="8467" max="8467" width="11.88671875" style="46" customWidth="1"/>
    <col min="8468" max="8468" width="15.88671875" style="46" customWidth="1"/>
    <col min="8469" max="8469" width="15.44140625" style="46" customWidth="1"/>
    <col min="8470" max="8470" width="12.44140625" style="46" customWidth="1"/>
    <col min="8471" max="8471" width="11.109375" style="46" customWidth="1"/>
    <col min="8472" max="8472" width="15.44140625" style="46" customWidth="1"/>
    <col min="8473" max="8474" width="0" style="46" hidden="1" customWidth="1"/>
    <col min="8475" max="8475" width="15" style="46" customWidth="1"/>
    <col min="8476" max="8476" width="9.44140625" style="46" customWidth="1"/>
    <col min="8477" max="8477" width="10.5546875" style="46" customWidth="1"/>
    <col min="8478" max="8478" width="9.5546875" style="46" customWidth="1"/>
    <col min="8479" max="8479" width="11.44140625" style="46" customWidth="1"/>
    <col min="8480" max="8480" width="9.109375" style="46"/>
    <col min="8481" max="8481" width="12.5546875" style="46" bestFit="1" customWidth="1"/>
    <col min="8482" max="8482" width="20.109375" style="46" bestFit="1" customWidth="1"/>
    <col min="8483" max="8704" width="9.109375" style="46"/>
    <col min="8705" max="8705" width="5.44140625" style="46" customWidth="1"/>
    <col min="8706" max="8706" width="45.109375" style="46" customWidth="1"/>
    <col min="8707" max="8707" width="15.109375" style="46" customWidth="1"/>
    <col min="8708" max="8708" width="16.44140625" style="46" customWidth="1"/>
    <col min="8709" max="8709" width="17.109375" style="46" customWidth="1"/>
    <col min="8710" max="8712" width="0" style="46" hidden="1" customWidth="1"/>
    <col min="8713" max="8714" width="15.88671875" style="46" customWidth="1"/>
    <col min="8715" max="8715" width="11.109375" style="46" customWidth="1"/>
    <col min="8716" max="8716" width="11.88671875" style="46" customWidth="1"/>
    <col min="8717" max="8717" width="10.44140625" style="46" customWidth="1"/>
    <col min="8718" max="8718" width="16.44140625" style="46" customWidth="1"/>
    <col min="8719" max="8719" width="14.109375" style="46" customWidth="1"/>
    <col min="8720" max="8720" width="15.88671875" style="46" customWidth="1"/>
    <col min="8721" max="8722" width="0" style="46" hidden="1" customWidth="1"/>
    <col min="8723" max="8723" width="11.88671875" style="46" customWidth="1"/>
    <col min="8724" max="8724" width="15.88671875" style="46" customWidth="1"/>
    <col min="8725" max="8725" width="15.44140625" style="46" customWidth="1"/>
    <col min="8726" max="8726" width="12.44140625" style="46" customWidth="1"/>
    <col min="8727" max="8727" width="11.109375" style="46" customWidth="1"/>
    <col min="8728" max="8728" width="15.44140625" style="46" customWidth="1"/>
    <col min="8729" max="8730" width="0" style="46" hidden="1" customWidth="1"/>
    <col min="8731" max="8731" width="15" style="46" customWidth="1"/>
    <col min="8732" max="8732" width="9.44140625" style="46" customWidth="1"/>
    <col min="8733" max="8733" width="10.5546875" style="46" customWidth="1"/>
    <col min="8734" max="8734" width="9.5546875" style="46" customWidth="1"/>
    <col min="8735" max="8735" width="11.44140625" style="46" customWidth="1"/>
    <col min="8736" max="8736" width="9.109375" style="46"/>
    <col min="8737" max="8737" width="12.5546875" style="46" bestFit="1" customWidth="1"/>
    <col min="8738" max="8738" width="20.109375" style="46" bestFit="1" customWidth="1"/>
    <col min="8739" max="8960" width="9.109375" style="46"/>
    <col min="8961" max="8961" width="5.44140625" style="46" customWidth="1"/>
    <col min="8962" max="8962" width="45.109375" style="46" customWidth="1"/>
    <col min="8963" max="8963" width="15.109375" style="46" customWidth="1"/>
    <col min="8964" max="8964" width="16.44140625" style="46" customWidth="1"/>
    <col min="8965" max="8965" width="17.109375" style="46" customWidth="1"/>
    <col min="8966" max="8968" width="0" style="46" hidden="1" customWidth="1"/>
    <col min="8969" max="8970" width="15.88671875" style="46" customWidth="1"/>
    <col min="8971" max="8971" width="11.109375" style="46" customWidth="1"/>
    <col min="8972" max="8972" width="11.88671875" style="46" customWidth="1"/>
    <col min="8973" max="8973" width="10.44140625" style="46" customWidth="1"/>
    <col min="8974" max="8974" width="16.44140625" style="46" customWidth="1"/>
    <col min="8975" max="8975" width="14.109375" style="46" customWidth="1"/>
    <col min="8976" max="8976" width="15.88671875" style="46" customWidth="1"/>
    <col min="8977" max="8978" width="0" style="46" hidden="1" customWidth="1"/>
    <col min="8979" max="8979" width="11.88671875" style="46" customWidth="1"/>
    <col min="8980" max="8980" width="15.88671875" style="46" customWidth="1"/>
    <col min="8981" max="8981" width="15.44140625" style="46" customWidth="1"/>
    <col min="8982" max="8982" width="12.44140625" style="46" customWidth="1"/>
    <col min="8983" max="8983" width="11.109375" style="46" customWidth="1"/>
    <col min="8984" max="8984" width="15.44140625" style="46" customWidth="1"/>
    <col min="8985" max="8986" width="0" style="46" hidden="1" customWidth="1"/>
    <col min="8987" max="8987" width="15" style="46" customWidth="1"/>
    <col min="8988" max="8988" width="9.44140625" style="46" customWidth="1"/>
    <col min="8989" max="8989" width="10.5546875" style="46" customWidth="1"/>
    <col min="8990" max="8990" width="9.5546875" style="46" customWidth="1"/>
    <col min="8991" max="8991" width="11.44140625" style="46" customWidth="1"/>
    <col min="8992" max="8992" width="9.109375" style="46"/>
    <col min="8993" max="8993" width="12.5546875" style="46" bestFit="1" customWidth="1"/>
    <col min="8994" max="8994" width="20.109375" style="46" bestFit="1" customWidth="1"/>
    <col min="8995" max="9216" width="9.109375" style="46"/>
    <col min="9217" max="9217" width="5.44140625" style="46" customWidth="1"/>
    <col min="9218" max="9218" width="45.109375" style="46" customWidth="1"/>
    <col min="9219" max="9219" width="15.109375" style="46" customWidth="1"/>
    <col min="9220" max="9220" width="16.44140625" style="46" customWidth="1"/>
    <col min="9221" max="9221" width="17.109375" style="46" customWidth="1"/>
    <col min="9222" max="9224" width="0" style="46" hidden="1" customWidth="1"/>
    <col min="9225" max="9226" width="15.88671875" style="46" customWidth="1"/>
    <col min="9227" max="9227" width="11.109375" style="46" customWidth="1"/>
    <col min="9228" max="9228" width="11.88671875" style="46" customWidth="1"/>
    <col min="9229" max="9229" width="10.44140625" style="46" customWidth="1"/>
    <col min="9230" max="9230" width="16.44140625" style="46" customWidth="1"/>
    <col min="9231" max="9231" width="14.109375" style="46" customWidth="1"/>
    <col min="9232" max="9232" width="15.88671875" style="46" customWidth="1"/>
    <col min="9233" max="9234" width="0" style="46" hidden="1" customWidth="1"/>
    <col min="9235" max="9235" width="11.88671875" style="46" customWidth="1"/>
    <col min="9236" max="9236" width="15.88671875" style="46" customWidth="1"/>
    <col min="9237" max="9237" width="15.44140625" style="46" customWidth="1"/>
    <col min="9238" max="9238" width="12.44140625" style="46" customWidth="1"/>
    <col min="9239" max="9239" width="11.109375" style="46" customWidth="1"/>
    <col min="9240" max="9240" width="15.44140625" style="46" customWidth="1"/>
    <col min="9241" max="9242" width="0" style="46" hidden="1" customWidth="1"/>
    <col min="9243" max="9243" width="15" style="46" customWidth="1"/>
    <col min="9244" max="9244" width="9.44140625" style="46" customWidth="1"/>
    <col min="9245" max="9245" width="10.5546875" style="46" customWidth="1"/>
    <col min="9246" max="9246" width="9.5546875" style="46" customWidth="1"/>
    <col min="9247" max="9247" width="11.44140625" style="46" customWidth="1"/>
    <col min="9248" max="9248" width="9.109375" style="46"/>
    <col min="9249" max="9249" width="12.5546875" style="46" bestFit="1" customWidth="1"/>
    <col min="9250" max="9250" width="20.109375" style="46" bestFit="1" customWidth="1"/>
    <col min="9251" max="9472" width="9.109375" style="46"/>
    <col min="9473" max="9473" width="5.44140625" style="46" customWidth="1"/>
    <col min="9474" max="9474" width="45.109375" style="46" customWidth="1"/>
    <col min="9475" max="9475" width="15.109375" style="46" customWidth="1"/>
    <col min="9476" max="9476" width="16.44140625" style="46" customWidth="1"/>
    <col min="9477" max="9477" width="17.109375" style="46" customWidth="1"/>
    <col min="9478" max="9480" width="0" style="46" hidden="1" customWidth="1"/>
    <col min="9481" max="9482" width="15.88671875" style="46" customWidth="1"/>
    <col min="9483" max="9483" width="11.109375" style="46" customWidth="1"/>
    <col min="9484" max="9484" width="11.88671875" style="46" customWidth="1"/>
    <col min="9485" max="9485" width="10.44140625" style="46" customWidth="1"/>
    <col min="9486" max="9486" width="16.44140625" style="46" customWidth="1"/>
    <col min="9487" max="9487" width="14.109375" style="46" customWidth="1"/>
    <col min="9488" max="9488" width="15.88671875" style="46" customWidth="1"/>
    <col min="9489" max="9490" width="0" style="46" hidden="1" customWidth="1"/>
    <col min="9491" max="9491" width="11.88671875" style="46" customWidth="1"/>
    <col min="9492" max="9492" width="15.88671875" style="46" customWidth="1"/>
    <col min="9493" max="9493" width="15.44140625" style="46" customWidth="1"/>
    <col min="9494" max="9494" width="12.44140625" style="46" customWidth="1"/>
    <col min="9495" max="9495" width="11.109375" style="46" customWidth="1"/>
    <col min="9496" max="9496" width="15.44140625" style="46" customWidth="1"/>
    <col min="9497" max="9498" width="0" style="46" hidden="1" customWidth="1"/>
    <col min="9499" max="9499" width="15" style="46" customWidth="1"/>
    <col min="9500" max="9500" width="9.44140625" style="46" customWidth="1"/>
    <col min="9501" max="9501" width="10.5546875" style="46" customWidth="1"/>
    <col min="9502" max="9502" width="9.5546875" style="46" customWidth="1"/>
    <col min="9503" max="9503" width="11.44140625" style="46" customWidth="1"/>
    <col min="9504" max="9504" width="9.109375" style="46"/>
    <col min="9505" max="9505" width="12.5546875" style="46" bestFit="1" customWidth="1"/>
    <col min="9506" max="9506" width="20.109375" style="46" bestFit="1" customWidth="1"/>
    <col min="9507" max="9728" width="9.109375" style="46"/>
    <col min="9729" max="9729" width="5.44140625" style="46" customWidth="1"/>
    <col min="9730" max="9730" width="45.109375" style="46" customWidth="1"/>
    <col min="9731" max="9731" width="15.109375" style="46" customWidth="1"/>
    <col min="9732" max="9732" width="16.44140625" style="46" customWidth="1"/>
    <col min="9733" max="9733" width="17.109375" style="46" customWidth="1"/>
    <col min="9734" max="9736" width="0" style="46" hidden="1" customWidth="1"/>
    <col min="9737" max="9738" width="15.88671875" style="46" customWidth="1"/>
    <col min="9739" max="9739" width="11.109375" style="46" customWidth="1"/>
    <col min="9740" max="9740" width="11.88671875" style="46" customWidth="1"/>
    <col min="9741" max="9741" width="10.44140625" style="46" customWidth="1"/>
    <col min="9742" max="9742" width="16.44140625" style="46" customWidth="1"/>
    <col min="9743" max="9743" width="14.109375" style="46" customWidth="1"/>
    <col min="9744" max="9744" width="15.88671875" style="46" customWidth="1"/>
    <col min="9745" max="9746" width="0" style="46" hidden="1" customWidth="1"/>
    <col min="9747" max="9747" width="11.88671875" style="46" customWidth="1"/>
    <col min="9748" max="9748" width="15.88671875" style="46" customWidth="1"/>
    <col min="9749" max="9749" width="15.44140625" style="46" customWidth="1"/>
    <col min="9750" max="9750" width="12.44140625" style="46" customWidth="1"/>
    <col min="9751" max="9751" width="11.109375" style="46" customWidth="1"/>
    <col min="9752" max="9752" width="15.44140625" style="46" customWidth="1"/>
    <col min="9753" max="9754" width="0" style="46" hidden="1" customWidth="1"/>
    <col min="9755" max="9755" width="15" style="46" customWidth="1"/>
    <col min="9756" max="9756" width="9.44140625" style="46" customWidth="1"/>
    <col min="9757" max="9757" width="10.5546875" style="46" customWidth="1"/>
    <col min="9758" max="9758" width="9.5546875" style="46" customWidth="1"/>
    <col min="9759" max="9759" width="11.44140625" style="46" customWidth="1"/>
    <col min="9760" max="9760" width="9.109375" style="46"/>
    <col min="9761" max="9761" width="12.5546875" style="46" bestFit="1" customWidth="1"/>
    <col min="9762" max="9762" width="20.109375" style="46" bestFit="1" customWidth="1"/>
    <col min="9763" max="9984" width="9.109375" style="46"/>
    <col min="9985" max="9985" width="5.44140625" style="46" customWidth="1"/>
    <col min="9986" max="9986" width="45.109375" style="46" customWidth="1"/>
    <col min="9987" max="9987" width="15.109375" style="46" customWidth="1"/>
    <col min="9988" max="9988" width="16.44140625" style="46" customWidth="1"/>
    <col min="9989" max="9989" width="17.109375" style="46" customWidth="1"/>
    <col min="9990" max="9992" width="0" style="46" hidden="1" customWidth="1"/>
    <col min="9993" max="9994" width="15.88671875" style="46" customWidth="1"/>
    <col min="9995" max="9995" width="11.109375" style="46" customWidth="1"/>
    <col min="9996" max="9996" width="11.88671875" style="46" customWidth="1"/>
    <col min="9997" max="9997" width="10.44140625" style="46" customWidth="1"/>
    <col min="9998" max="9998" width="16.44140625" style="46" customWidth="1"/>
    <col min="9999" max="9999" width="14.109375" style="46" customWidth="1"/>
    <col min="10000" max="10000" width="15.88671875" style="46" customWidth="1"/>
    <col min="10001" max="10002" width="0" style="46" hidden="1" customWidth="1"/>
    <col min="10003" max="10003" width="11.88671875" style="46" customWidth="1"/>
    <col min="10004" max="10004" width="15.88671875" style="46" customWidth="1"/>
    <col min="10005" max="10005" width="15.44140625" style="46" customWidth="1"/>
    <col min="10006" max="10006" width="12.44140625" style="46" customWidth="1"/>
    <col min="10007" max="10007" width="11.109375" style="46" customWidth="1"/>
    <col min="10008" max="10008" width="15.44140625" style="46" customWidth="1"/>
    <col min="10009" max="10010" width="0" style="46" hidden="1" customWidth="1"/>
    <col min="10011" max="10011" width="15" style="46" customWidth="1"/>
    <col min="10012" max="10012" width="9.44140625" style="46" customWidth="1"/>
    <col min="10013" max="10013" width="10.5546875" style="46" customWidth="1"/>
    <col min="10014" max="10014" width="9.5546875" style="46" customWidth="1"/>
    <col min="10015" max="10015" width="11.44140625" style="46" customWidth="1"/>
    <col min="10016" max="10016" width="9.109375" style="46"/>
    <col min="10017" max="10017" width="12.5546875" style="46" bestFit="1" customWidth="1"/>
    <col min="10018" max="10018" width="20.109375" style="46" bestFit="1" customWidth="1"/>
    <col min="10019" max="10240" width="9.109375" style="46"/>
    <col min="10241" max="10241" width="5.44140625" style="46" customWidth="1"/>
    <col min="10242" max="10242" width="45.109375" style="46" customWidth="1"/>
    <col min="10243" max="10243" width="15.109375" style="46" customWidth="1"/>
    <col min="10244" max="10244" width="16.44140625" style="46" customWidth="1"/>
    <col min="10245" max="10245" width="17.109375" style="46" customWidth="1"/>
    <col min="10246" max="10248" width="0" style="46" hidden="1" customWidth="1"/>
    <col min="10249" max="10250" width="15.88671875" style="46" customWidth="1"/>
    <col min="10251" max="10251" width="11.109375" style="46" customWidth="1"/>
    <col min="10252" max="10252" width="11.88671875" style="46" customWidth="1"/>
    <col min="10253" max="10253" width="10.44140625" style="46" customWidth="1"/>
    <col min="10254" max="10254" width="16.44140625" style="46" customWidth="1"/>
    <col min="10255" max="10255" width="14.109375" style="46" customWidth="1"/>
    <col min="10256" max="10256" width="15.88671875" style="46" customWidth="1"/>
    <col min="10257" max="10258" width="0" style="46" hidden="1" customWidth="1"/>
    <col min="10259" max="10259" width="11.88671875" style="46" customWidth="1"/>
    <col min="10260" max="10260" width="15.88671875" style="46" customWidth="1"/>
    <col min="10261" max="10261" width="15.44140625" style="46" customWidth="1"/>
    <col min="10262" max="10262" width="12.44140625" style="46" customWidth="1"/>
    <col min="10263" max="10263" width="11.109375" style="46" customWidth="1"/>
    <col min="10264" max="10264" width="15.44140625" style="46" customWidth="1"/>
    <col min="10265" max="10266" width="0" style="46" hidden="1" customWidth="1"/>
    <col min="10267" max="10267" width="15" style="46" customWidth="1"/>
    <col min="10268" max="10268" width="9.44140625" style="46" customWidth="1"/>
    <col min="10269" max="10269" width="10.5546875" style="46" customWidth="1"/>
    <col min="10270" max="10270" width="9.5546875" style="46" customWidth="1"/>
    <col min="10271" max="10271" width="11.44140625" style="46" customWidth="1"/>
    <col min="10272" max="10272" width="9.109375" style="46"/>
    <col min="10273" max="10273" width="12.5546875" style="46" bestFit="1" customWidth="1"/>
    <col min="10274" max="10274" width="20.109375" style="46" bestFit="1" customWidth="1"/>
    <col min="10275" max="10496" width="9.109375" style="46"/>
    <col min="10497" max="10497" width="5.44140625" style="46" customWidth="1"/>
    <col min="10498" max="10498" width="45.109375" style="46" customWidth="1"/>
    <col min="10499" max="10499" width="15.109375" style="46" customWidth="1"/>
    <col min="10500" max="10500" width="16.44140625" style="46" customWidth="1"/>
    <col min="10501" max="10501" width="17.109375" style="46" customWidth="1"/>
    <col min="10502" max="10504" width="0" style="46" hidden="1" customWidth="1"/>
    <col min="10505" max="10506" width="15.88671875" style="46" customWidth="1"/>
    <col min="10507" max="10507" width="11.109375" style="46" customWidth="1"/>
    <col min="10508" max="10508" width="11.88671875" style="46" customWidth="1"/>
    <col min="10509" max="10509" width="10.44140625" style="46" customWidth="1"/>
    <col min="10510" max="10510" width="16.44140625" style="46" customWidth="1"/>
    <col min="10511" max="10511" width="14.109375" style="46" customWidth="1"/>
    <col min="10512" max="10512" width="15.88671875" style="46" customWidth="1"/>
    <col min="10513" max="10514" width="0" style="46" hidden="1" customWidth="1"/>
    <col min="10515" max="10515" width="11.88671875" style="46" customWidth="1"/>
    <col min="10516" max="10516" width="15.88671875" style="46" customWidth="1"/>
    <col min="10517" max="10517" width="15.44140625" style="46" customWidth="1"/>
    <col min="10518" max="10518" width="12.44140625" style="46" customWidth="1"/>
    <col min="10519" max="10519" width="11.109375" style="46" customWidth="1"/>
    <col min="10520" max="10520" width="15.44140625" style="46" customWidth="1"/>
    <col min="10521" max="10522" width="0" style="46" hidden="1" customWidth="1"/>
    <col min="10523" max="10523" width="15" style="46" customWidth="1"/>
    <col min="10524" max="10524" width="9.44140625" style="46" customWidth="1"/>
    <col min="10525" max="10525" width="10.5546875" style="46" customWidth="1"/>
    <col min="10526" max="10526" width="9.5546875" style="46" customWidth="1"/>
    <col min="10527" max="10527" width="11.44140625" style="46" customWidth="1"/>
    <col min="10528" max="10528" width="9.109375" style="46"/>
    <col min="10529" max="10529" width="12.5546875" style="46" bestFit="1" customWidth="1"/>
    <col min="10530" max="10530" width="20.109375" style="46" bestFit="1" customWidth="1"/>
    <col min="10531" max="10752" width="9.109375" style="46"/>
    <col min="10753" max="10753" width="5.44140625" style="46" customWidth="1"/>
    <col min="10754" max="10754" width="45.109375" style="46" customWidth="1"/>
    <col min="10755" max="10755" width="15.109375" style="46" customWidth="1"/>
    <col min="10756" max="10756" width="16.44140625" style="46" customWidth="1"/>
    <col min="10757" max="10757" width="17.109375" style="46" customWidth="1"/>
    <col min="10758" max="10760" width="0" style="46" hidden="1" customWidth="1"/>
    <col min="10761" max="10762" width="15.88671875" style="46" customWidth="1"/>
    <col min="10763" max="10763" width="11.109375" style="46" customWidth="1"/>
    <col min="10764" max="10764" width="11.88671875" style="46" customWidth="1"/>
    <col min="10765" max="10765" width="10.44140625" style="46" customWidth="1"/>
    <col min="10766" max="10766" width="16.44140625" style="46" customWidth="1"/>
    <col min="10767" max="10767" width="14.109375" style="46" customWidth="1"/>
    <col min="10768" max="10768" width="15.88671875" style="46" customWidth="1"/>
    <col min="10769" max="10770" width="0" style="46" hidden="1" customWidth="1"/>
    <col min="10771" max="10771" width="11.88671875" style="46" customWidth="1"/>
    <col min="10772" max="10772" width="15.88671875" style="46" customWidth="1"/>
    <col min="10773" max="10773" width="15.44140625" style="46" customWidth="1"/>
    <col min="10774" max="10774" width="12.44140625" style="46" customWidth="1"/>
    <col min="10775" max="10775" width="11.109375" style="46" customWidth="1"/>
    <col min="10776" max="10776" width="15.44140625" style="46" customWidth="1"/>
    <col min="10777" max="10778" width="0" style="46" hidden="1" customWidth="1"/>
    <col min="10779" max="10779" width="15" style="46" customWidth="1"/>
    <col min="10780" max="10780" width="9.44140625" style="46" customWidth="1"/>
    <col min="10781" max="10781" width="10.5546875" style="46" customWidth="1"/>
    <col min="10782" max="10782" width="9.5546875" style="46" customWidth="1"/>
    <col min="10783" max="10783" width="11.44140625" style="46" customWidth="1"/>
    <col min="10784" max="10784" width="9.109375" style="46"/>
    <col min="10785" max="10785" width="12.5546875" style="46" bestFit="1" customWidth="1"/>
    <col min="10786" max="10786" width="20.109375" style="46" bestFit="1" customWidth="1"/>
    <col min="10787" max="11008" width="9.109375" style="46"/>
    <col min="11009" max="11009" width="5.44140625" style="46" customWidth="1"/>
    <col min="11010" max="11010" width="45.109375" style="46" customWidth="1"/>
    <col min="11011" max="11011" width="15.109375" style="46" customWidth="1"/>
    <col min="11012" max="11012" width="16.44140625" style="46" customWidth="1"/>
    <col min="11013" max="11013" width="17.109375" style="46" customWidth="1"/>
    <col min="11014" max="11016" width="0" style="46" hidden="1" customWidth="1"/>
    <col min="11017" max="11018" width="15.88671875" style="46" customWidth="1"/>
    <col min="11019" max="11019" width="11.109375" style="46" customWidth="1"/>
    <col min="11020" max="11020" width="11.88671875" style="46" customWidth="1"/>
    <col min="11021" max="11021" width="10.44140625" style="46" customWidth="1"/>
    <col min="11022" max="11022" width="16.44140625" style="46" customWidth="1"/>
    <col min="11023" max="11023" width="14.109375" style="46" customWidth="1"/>
    <col min="11024" max="11024" width="15.88671875" style="46" customWidth="1"/>
    <col min="11025" max="11026" width="0" style="46" hidden="1" customWidth="1"/>
    <col min="11027" max="11027" width="11.88671875" style="46" customWidth="1"/>
    <col min="11028" max="11028" width="15.88671875" style="46" customWidth="1"/>
    <col min="11029" max="11029" width="15.44140625" style="46" customWidth="1"/>
    <col min="11030" max="11030" width="12.44140625" style="46" customWidth="1"/>
    <col min="11031" max="11031" width="11.109375" style="46" customWidth="1"/>
    <col min="11032" max="11032" width="15.44140625" style="46" customWidth="1"/>
    <col min="11033" max="11034" width="0" style="46" hidden="1" customWidth="1"/>
    <col min="11035" max="11035" width="15" style="46" customWidth="1"/>
    <col min="11036" max="11036" width="9.44140625" style="46" customWidth="1"/>
    <col min="11037" max="11037" width="10.5546875" style="46" customWidth="1"/>
    <col min="11038" max="11038" width="9.5546875" style="46" customWidth="1"/>
    <col min="11039" max="11039" width="11.44140625" style="46" customWidth="1"/>
    <col min="11040" max="11040" width="9.109375" style="46"/>
    <col min="11041" max="11041" width="12.5546875" style="46" bestFit="1" customWidth="1"/>
    <col min="11042" max="11042" width="20.109375" style="46" bestFit="1" customWidth="1"/>
    <col min="11043" max="11264" width="9.109375" style="46"/>
    <col min="11265" max="11265" width="5.44140625" style="46" customWidth="1"/>
    <col min="11266" max="11266" width="45.109375" style="46" customWidth="1"/>
    <col min="11267" max="11267" width="15.109375" style="46" customWidth="1"/>
    <col min="11268" max="11268" width="16.44140625" style="46" customWidth="1"/>
    <col min="11269" max="11269" width="17.109375" style="46" customWidth="1"/>
    <col min="11270" max="11272" width="0" style="46" hidden="1" customWidth="1"/>
    <col min="11273" max="11274" width="15.88671875" style="46" customWidth="1"/>
    <col min="11275" max="11275" width="11.109375" style="46" customWidth="1"/>
    <col min="11276" max="11276" width="11.88671875" style="46" customWidth="1"/>
    <col min="11277" max="11277" width="10.44140625" style="46" customWidth="1"/>
    <col min="11278" max="11278" width="16.44140625" style="46" customWidth="1"/>
    <col min="11279" max="11279" width="14.109375" style="46" customWidth="1"/>
    <col min="11280" max="11280" width="15.88671875" style="46" customWidth="1"/>
    <col min="11281" max="11282" width="0" style="46" hidden="1" customWidth="1"/>
    <col min="11283" max="11283" width="11.88671875" style="46" customWidth="1"/>
    <col min="11284" max="11284" width="15.88671875" style="46" customWidth="1"/>
    <col min="11285" max="11285" width="15.44140625" style="46" customWidth="1"/>
    <col min="11286" max="11286" width="12.44140625" style="46" customWidth="1"/>
    <col min="11287" max="11287" width="11.109375" style="46" customWidth="1"/>
    <col min="11288" max="11288" width="15.44140625" style="46" customWidth="1"/>
    <col min="11289" max="11290" width="0" style="46" hidden="1" customWidth="1"/>
    <col min="11291" max="11291" width="15" style="46" customWidth="1"/>
    <col min="11292" max="11292" width="9.44140625" style="46" customWidth="1"/>
    <col min="11293" max="11293" width="10.5546875" style="46" customWidth="1"/>
    <col min="11294" max="11294" width="9.5546875" style="46" customWidth="1"/>
    <col min="11295" max="11295" width="11.44140625" style="46" customWidth="1"/>
    <col min="11296" max="11296" width="9.109375" style="46"/>
    <col min="11297" max="11297" width="12.5546875" style="46" bestFit="1" customWidth="1"/>
    <col min="11298" max="11298" width="20.109375" style="46" bestFit="1" customWidth="1"/>
    <col min="11299" max="11520" width="9.109375" style="46"/>
    <col min="11521" max="11521" width="5.44140625" style="46" customWidth="1"/>
    <col min="11522" max="11522" width="45.109375" style="46" customWidth="1"/>
    <col min="11523" max="11523" width="15.109375" style="46" customWidth="1"/>
    <col min="11524" max="11524" width="16.44140625" style="46" customWidth="1"/>
    <col min="11525" max="11525" width="17.109375" style="46" customWidth="1"/>
    <col min="11526" max="11528" width="0" style="46" hidden="1" customWidth="1"/>
    <col min="11529" max="11530" width="15.88671875" style="46" customWidth="1"/>
    <col min="11531" max="11531" width="11.109375" style="46" customWidth="1"/>
    <col min="11532" max="11532" width="11.88671875" style="46" customWidth="1"/>
    <col min="11533" max="11533" width="10.44140625" style="46" customWidth="1"/>
    <col min="11534" max="11534" width="16.44140625" style="46" customWidth="1"/>
    <col min="11535" max="11535" width="14.109375" style="46" customWidth="1"/>
    <col min="11536" max="11536" width="15.88671875" style="46" customWidth="1"/>
    <col min="11537" max="11538" width="0" style="46" hidden="1" customWidth="1"/>
    <col min="11539" max="11539" width="11.88671875" style="46" customWidth="1"/>
    <col min="11540" max="11540" width="15.88671875" style="46" customWidth="1"/>
    <col min="11541" max="11541" width="15.44140625" style="46" customWidth="1"/>
    <col min="11542" max="11542" width="12.44140625" style="46" customWidth="1"/>
    <col min="11543" max="11543" width="11.109375" style="46" customWidth="1"/>
    <col min="11544" max="11544" width="15.44140625" style="46" customWidth="1"/>
    <col min="11545" max="11546" width="0" style="46" hidden="1" customWidth="1"/>
    <col min="11547" max="11547" width="15" style="46" customWidth="1"/>
    <col min="11548" max="11548" width="9.44140625" style="46" customWidth="1"/>
    <col min="11549" max="11549" width="10.5546875" style="46" customWidth="1"/>
    <col min="11550" max="11550" width="9.5546875" style="46" customWidth="1"/>
    <col min="11551" max="11551" width="11.44140625" style="46" customWidth="1"/>
    <col min="11552" max="11552" width="9.109375" style="46"/>
    <col min="11553" max="11553" width="12.5546875" style="46" bestFit="1" customWidth="1"/>
    <col min="11554" max="11554" width="20.109375" style="46" bestFit="1" customWidth="1"/>
    <col min="11555" max="11776" width="9.109375" style="46"/>
    <col min="11777" max="11777" width="5.44140625" style="46" customWidth="1"/>
    <col min="11778" max="11778" width="45.109375" style="46" customWidth="1"/>
    <col min="11779" max="11779" width="15.109375" style="46" customWidth="1"/>
    <col min="11780" max="11780" width="16.44140625" style="46" customWidth="1"/>
    <col min="11781" max="11781" width="17.109375" style="46" customWidth="1"/>
    <col min="11782" max="11784" width="0" style="46" hidden="1" customWidth="1"/>
    <col min="11785" max="11786" width="15.88671875" style="46" customWidth="1"/>
    <col min="11787" max="11787" width="11.109375" style="46" customWidth="1"/>
    <col min="11788" max="11788" width="11.88671875" style="46" customWidth="1"/>
    <col min="11789" max="11789" width="10.44140625" style="46" customWidth="1"/>
    <col min="11790" max="11790" width="16.44140625" style="46" customWidth="1"/>
    <col min="11791" max="11791" width="14.109375" style="46" customWidth="1"/>
    <col min="11792" max="11792" width="15.88671875" style="46" customWidth="1"/>
    <col min="11793" max="11794" width="0" style="46" hidden="1" customWidth="1"/>
    <col min="11795" max="11795" width="11.88671875" style="46" customWidth="1"/>
    <col min="11796" max="11796" width="15.88671875" style="46" customWidth="1"/>
    <col min="11797" max="11797" width="15.44140625" style="46" customWidth="1"/>
    <col min="11798" max="11798" width="12.44140625" style="46" customWidth="1"/>
    <col min="11799" max="11799" width="11.109375" style="46" customWidth="1"/>
    <col min="11800" max="11800" width="15.44140625" style="46" customWidth="1"/>
    <col min="11801" max="11802" width="0" style="46" hidden="1" customWidth="1"/>
    <col min="11803" max="11803" width="15" style="46" customWidth="1"/>
    <col min="11804" max="11804" width="9.44140625" style="46" customWidth="1"/>
    <col min="11805" max="11805" width="10.5546875" style="46" customWidth="1"/>
    <col min="11806" max="11806" width="9.5546875" style="46" customWidth="1"/>
    <col min="11807" max="11807" width="11.44140625" style="46" customWidth="1"/>
    <col min="11808" max="11808" width="9.109375" style="46"/>
    <col min="11809" max="11809" width="12.5546875" style="46" bestFit="1" customWidth="1"/>
    <col min="11810" max="11810" width="20.109375" style="46" bestFit="1" customWidth="1"/>
    <col min="11811" max="12032" width="9.109375" style="46"/>
    <col min="12033" max="12033" width="5.44140625" style="46" customWidth="1"/>
    <col min="12034" max="12034" width="45.109375" style="46" customWidth="1"/>
    <col min="12035" max="12035" width="15.109375" style="46" customWidth="1"/>
    <col min="12036" max="12036" width="16.44140625" style="46" customWidth="1"/>
    <col min="12037" max="12037" width="17.109375" style="46" customWidth="1"/>
    <col min="12038" max="12040" width="0" style="46" hidden="1" customWidth="1"/>
    <col min="12041" max="12042" width="15.88671875" style="46" customWidth="1"/>
    <col min="12043" max="12043" width="11.109375" style="46" customWidth="1"/>
    <col min="12044" max="12044" width="11.88671875" style="46" customWidth="1"/>
    <col min="12045" max="12045" width="10.44140625" style="46" customWidth="1"/>
    <col min="12046" max="12046" width="16.44140625" style="46" customWidth="1"/>
    <col min="12047" max="12047" width="14.109375" style="46" customWidth="1"/>
    <col min="12048" max="12048" width="15.88671875" style="46" customWidth="1"/>
    <col min="12049" max="12050" width="0" style="46" hidden="1" customWidth="1"/>
    <col min="12051" max="12051" width="11.88671875" style="46" customWidth="1"/>
    <col min="12052" max="12052" width="15.88671875" style="46" customWidth="1"/>
    <col min="12053" max="12053" width="15.44140625" style="46" customWidth="1"/>
    <col min="12054" max="12054" width="12.44140625" style="46" customWidth="1"/>
    <col min="12055" max="12055" width="11.109375" style="46" customWidth="1"/>
    <col min="12056" max="12056" width="15.44140625" style="46" customWidth="1"/>
    <col min="12057" max="12058" width="0" style="46" hidden="1" customWidth="1"/>
    <col min="12059" max="12059" width="15" style="46" customWidth="1"/>
    <col min="12060" max="12060" width="9.44140625" style="46" customWidth="1"/>
    <col min="12061" max="12061" width="10.5546875" style="46" customWidth="1"/>
    <col min="12062" max="12062" width="9.5546875" style="46" customWidth="1"/>
    <col min="12063" max="12063" width="11.44140625" style="46" customWidth="1"/>
    <col min="12064" max="12064" width="9.109375" style="46"/>
    <col min="12065" max="12065" width="12.5546875" style="46" bestFit="1" customWidth="1"/>
    <col min="12066" max="12066" width="20.109375" style="46" bestFit="1" customWidth="1"/>
    <col min="12067" max="12288" width="9.109375" style="46"/>
    <col min="12289" max="12289" width="5.44140625" style="46" customWidth="1"/>
    <col min="12290" max="12290" width="45.109375" style="46" customWidth="1"/>
    <col min="12291" max="12291" width="15.109375" style="46" customWidth="1"/>
    <col min="12292" max="12292" width="16.44140625" style="46" customWidth="1"/>
    <col min="12293" max="12293" width="17.109375" style="46" customWidth="1"/>
    <col min="12294" max="12296" width="0" style="46" hidden="1" customWidth="1"/>
    <col min="12297" max="12298" width="15.88671875" style="46" customWidth="1"/>
    <col min="12299" max="12299" width="11.109375" style="46" customWidth="1"/>
    <col min="12300" max="12300" width="11.88671875" style="46" customWidth="1"/>
    <col min="12301" max="12301" width="10.44140625" style="46" customWidth="1"/>
    <col min="12302" max="12302" width="16.44140625" style="46" customWidth="1"/>
    <col min="12303" max="12303" width="14.109375" style="46" customWidth="1"/>
    <col min="12304" max="12304" width="15.88671875" style="46" customWidth="1"/>
    <col min="12305" max="12306" width="0" style="46" hidden="1" customWidth="1"/>
    <col min="12307" max="12307" width="11.88671875" style="46" customWidth="1"/>
    <col min="12308" max="12308" width="15.88671875" style="46" customWidth="1"/>
    <col min="12309" max="12309" width="15.44140625" style="46" customWidth="1"/>
    <col min="12310" max="12310" width="12.44140625" style="46" customWidth="1"/>
    <col min="12311" max="12311" width="11.109375" style="46" customWidth="1"/>
    <col min="12312" max="12312" width="15.44140625" style="46" customWidth="1"/>
    <col min="12313" max="12314" width="0" style="46" hidden="1" customWidth="1"/>
    <col min="12315" max="12315" width="15" style="46" customWidth="1"/>
    <col min="12316" max="12316" width="9.44140625" style="46" customWidth="1"/>
    <col min="12317" max="12317" width="10.5546875" style="46" customWidth="1"/>
    <col min="12318" max="12318" width="9.5546875" style="46" customWidth="1"/>
    <col min="12319" max="12319" width="11.44140625" style="46" customWidth="1"/>
    <col min="12320" max="12320" width="9.109375" style="46"/>
    <col min="12321" max="12321" width="12.5546875" style="46" bestFit="1" customWidth="1"/>
    <col min="12322" max="12322" width="20.109375" style="46" bestFit="1" customWidth="1"/>
    <col min="12323" max="12544" width="9.109375" style="46"/>
    <col min="12545" max="12545" width="5.44140625" style="46" customWidth="1"/>
    <col min="12546" max="12546" width="45.109375" style="46" customWidth="1"/>
    <col min="12547" max="12547" width="15.109375" style="46" customWidth="1"/>
    <col min="12548" max="12548" width="16.44140625" style="46" customWidth="1"/>
    <col min="12549" max="12549" width="17.109375" style="46" customWidth="1"/>
    <col min="12550" max="12552" width="0" style="46" hidden="1" customWidth="1"/>
    <col min="12553" max="12554" width="15.88671875" style="46" customWidth="1"/>
    <col min="12555" max="12555" width="11.109375" style="46" customWidth="1"/>
    <col min="12556" max="12556" width="11.88671875" style="46" customWidth="1"/>
    <col min="12557" max="12557" width="10.44140625" style="46" customWidth="1"/>
    <col min="12558" max="12558" width="16.44140625" style="46" customWidth="1"/>
    <col min="12559" max="12559" width="14.109375" style="46" customWidth="1"/>
    <col min="12560" max="12560" width="15.88671875" style="46" customWidth="1"/>
    <col min="12561" max="12562" width="0" style="46" hidden="1" customWidth="1"/>
    <col min="12563" max="12563" width="11.88671875" style="46" customWidth="1"/>
    <col min="12564" max="12564" width="15.88671875" style="46" customWidth="1"/>
    <col min="12565" max="12565" width="15.44140625" style="46" customWidth="1"/>
    <col min="12566" max="12566" width="12.44140625" style="46" customWidth="1"/>
    <col min="12567" max="12567" width="11.109375" style="46" customWidth="1"/>
    <col min="12568" max="12568" width="15.44140625" style="46" customWidth="1"/>
    <col min="12569" max="12570" width="0" style="46" hidden="1" customWidth="1"/>
    <col min="12571" max="12571" width="15" style="46" customWidth="1"/>
    <col min="12572" max="12572" width="9.44140625" style="46" customWidth="1"/>
    <col min="12573" max="12573" width="10.5546875" style="46" customWidth="1"/>
    <col min="12574" max="12574" width="9.5546875" style="46" customWidth="1"/>
    <col min="12575" max="12575" width="11.44140625" style="46" customWidth="1"/>
    <col min="12576" max="12576" width="9.109375" style="46"/>
    <col min="12577" max="12577" width="12.5546875" style="46" bestFit="1" customWidth="1"/>
    <col min="12578" max="12578" width="20.109375" style="46" bestFit="1" customWidth="1"/>
    <col min="12579" max="12800" width="9.109375" style="46"/>
    <col min="12801" max="12801" width="5.44140625" style="46" customWidth="1"/>
    <col min="12802" max="12802" width="45.109375" style="46" customWidth="1"/>
    <col min="12803" max="12803" width="15.109375" style="46" customWidth="1"/>
    <col min="12804" max="12804" width="16.44140625" style="46" customWidth="1"/>
    <col min="12805" max="12805" width="17.109375" style="46" customWidth="1"/>
    <col min="12806" max="12808" width="0" style="46" hidden="1" customWidth="1"/>
    <col min="12809" max="12810" width="15.88671875" style="46" customWidth="1"/>
    <col min="12811" max="12811" width="11.109375" style="46" customWidth="1"/>
    <col min="12812" max="12812" width="11.88671875" style="46" customWidth="1"/>
    <col min="12813" max="12813" width="10.44140625" style="46" customWidth="1"/>
    <col min="12814" max="12814" width="16.44140625" style="46" customWidth="1"/>
    <col min="12815" max="12815" width="14.109375" style="46" customWidth="1"/>
    <col min="12816" max="12816" width="15.88671875" style="46" customWidth="1"/>
    <col min="12817" max="12818" width="0" style="46" hidden="1" customWidth="1"/>
    <col min="12819" max="12819" width="11.88671875" style="46" customWidth="1"/>
    <col min="12820" max="12820" width="15.88671875" style="46" customWidth="1"/>
    <col min="12821" max="12821" width="15.44140625" style="46" customWidth="1"/>
    <col min="12822" max="12822" width="12.44140625" style="46" customWidth="1"/>
    <col min="12823" max="12823" width="11.109375" style="46" customWidth="1"/>
    <col min="12824" max="12824" width="15.44140625" style="46" customWidth="1"/>
    <col min="12825" max="12826" width="0" style="46" hidden="1" customWidth="1"/>
    <col min="12827" max="12827" width="15" style="46" customWidth="1"/>
    <col min="12828" max="12828" width="9.44140625" style="46" customWidth="1"/>
    <col min="12829" max="12829" width="10.5546875" style="46" customWidth="1"/>
    <col min="12830" max="12830" width="9.5546875" style="46" customWidth="1"/>
    <col min="12831" max="12831" width="11.44140625" style="46" customWidth="1"/>
    <col min="12832" max="12832" width="9.109375" style="46"/>
    <col min="12833" max="12833" width="12.5546875" style="46" bestFit="1" customWidth="1"/>
    <col min="12834" max="12834" width="20.109375" style="46" bestFit="1" customWidth="1"/>
    <col min="12835" max="13056" width="9.109375" style="46"/>
    <col min="13057" max="13057" width="5.44140625" style="46" customWidth="1"/>
    <col min="13058" max="13058" width="45.109375" style="46" customWidth="1"/>
    <col min="13059" max="13059" width="15.109375" style="46" customWidth="1"/>
    <col min="13060" max="13060" width="16.44140625" style="46" customWidth="1"/>
    <col min="13061" max="13061" width="17.109375" style="46" customWidth="1"/>
    <col min="13062" max="13064" width="0" style="46" hidden="1" customWidth="1"/>
    <col min="13065" max="13066" width="15.88671875" style="46" customWidth="1"/>
    <col min="13067" max="13067" width="11.109375" style="46" customWidth="1"/>
    <col min="13068" max="13068" width="11.88671875" style="46" customWidth="1"/>
    <col min="13069" max="13069" width="10.44140625" style="46" customWidth="1"/>
    <col min="13070" max="13070" width="16.44140625" style="46" customWidth="1"/>
    <col min="13071" max="13071" width="14.109375" style="46" customWidth="1"/>
    <col min="13072" max="13072" width="15.88671875" style="46" customWidth="1"/>
    <col min="13073" max="13074" width="0" style="46" hidden="1" customWidth="1"/>
    <col min="13075" max="13075" width="11.88671875" style="46" customWidth="1"/>
    <col min="13076" max="13076" width="15.88671875" style="46" customWidth="1"/>
    <col min="13077" max="13077" width="15.44140625" style="46" customWidth="1"/>
    <col min="13078" max="13078" width="12.44140625" style="46" customWidth="1"/>
    <col min="13079" max="13079" width="11.109375" style="46" customWidth="1"/>
    <col min="13080" max="13080" width="15.44140625" style="46" customWidth="1"/>
    <col min="13081" max="13082" width="0" style="46" hidden="1" customWidth="1"/>
    <col min="13083" max="13083" width="15" style="46" customWidth="1"/>
    <col min="13084" max="13084" width="9.44140625" style="46" customWidth="1"/>
    <col min="13085" max="13085" width="10.5546875" style="46" customWidth="1"/>
    <col min="13086" max="13086" width="9.5546875" style="46" customWidth="1"/>
    <col min="13087" max="13087" width="11.44140625" style="46" customWidth="1"/>
    <col min="13088" max="13088" width="9.109375" style="46"/>
    <col min="13089" max="13089" width="12.5546875" style="46" bestFit="1" customWidth="1"/>
    <col min="13090" max="13090" width="20.109375" style="46" bestFit="1" customWidth="1"/>
    <col min="13091" max="13312" width="9.109375" style="46"/>
    <col min="13313" max="13313" width="5.44140625" style="46" customWidth="1"/>
    <col min="13314" max="13314" width="45.109375" style="46" customWidth="1"/>
    <col min="13315" max="13315" width="15.109375" style="46" customWidth="1"/>
    <col min="13316" max="13316" width="16.44140625" style="46" customWidth="1"/>
    <col min="13317" max="13317" width="17.109375" style="46" customWidth="1"/>
    <col min="13318" max="13320" width="0" style="46" hidden="1" customWidth="1"/>
    <col min="13321" max="13322" width="15.88671875" style="46" customWidth="1"/>
    <col min="13323" max="13323" width="11.109375" style="46" customWidth="1"/>
    <col min="13324" max="13324" width="11.88671875" style="46" customWidth="1"/>
    <col min="13325" max="13325" width="10.44140625" style="46" customWidth="1"/>
    <col min="13326" max="13326" width="16.44140625" style="46" customWidth="1"/>
    <col min="13327" max="13327" width="14.109375" style="46" customWidth="1"/>
    <col min="13328" max="13328" width="15.88671875" style="46" customWidth="1"/>
    <col min="13329" max="13330" width="0" style="46" hidden="1" customWidth="1"/>
    <col min="13331" max="13331" width="11.88671875" style="46" customWidth="1"/>
    <col min="13332" max="13332" width="15.88671875" style="46" customWidth="1"/>
    <col min="13333" max="13333" width="15.44140625" style="46" customWidth="1"/>
    <col min="13334" max="13334" width="12.44140625" style="46" customWidth="1"/>
    <col min="13335" max="13335" width="11.109375" style="46" customWidth="1"/>
    <col min="13336" max="13336" width="15.44140625" style="46" customWidth="1"/>
    <col min="13337" max="13338" width="0" style="46" hidden="1" customWidth="1"/>
    <col min="13339" max="13339" width="15" style="46" customWidth="1"/>
    <col min="13340" max="13340" width="9.44140625" style="46" customWidth="1"/>
    <col min="13341" max="13341" width="10.5546875" style="46" customWidth="1"/>
    <col min="13342" max="13342" width="9.5546875" style="46" customWidth="1"/>
    <col min="13343" max="13343" width="11.44140625" style="46" customWidth="1"/>
    <col min="13344" max="13344" width="9.109375" style="46"/>
    <col min="13345" max="13345" width="12.5546875" style="46" bestFit="1" customWidth="1"/>
    <col min="13346" max="13346" width="20.109375" style="46" bestFit="1" customWidth="1"/>
    <col min="13347" max="13568" width="9.109375" style="46"/>
    <col min="13569" max="13569" width="5.44140625" style="46" customWidth="1"/>
    <col min="13570" max="13570" width="45.109375" style="46" customWidth="1"/>
    <col min="13571" max="13571" width="15.109375" style="46" customWidth="1"/>
    <col min="13572" max="13572" width="16.44140625" style="46" customWidth="1"/>
    <col min="13573" max="13573" width="17.109375" style="46" customWidth="1"/>
    <col min="13574" max="13576" width="0" style="46" hidden="1" customWidth="1"/>
    <col min="13577" max="13578" width="15.88671875" style="46" customWidth="1"/>
    <col min="13579" max="13579" width="11.109375" style="46" customWidth="1"/>
    <col min="13580" max="13580" width="11.88671875" style="46" customWidth="1"/>
    <col min="13581" max="13581" width="10.44140625" style="46" customWidth="1"/>
    <col min="13582" max="13582" width="16.44140625" style="46" customWidth="1"/>
    <col min="13583" max="13583" width="14.109375" style="46" customWidth="1"/>
    <col min="13584" max="13584" width="15.88671875" style="46" customWidth="1"/>
    <col min="13585" max="13586" width="0" style="46" hidden="1" customWidth="1"/>
    <col min="13587" max="13587" width="11.88671875" style="46" customWidth="1"/>
    <col min="13588" max="13588" width="15.88671875" style="46" customWidth="1"/>
    <col min="13589" max="13589" width="15.44140625" style="46" customWidth="1"/>
    <col min="13590" max="13590" width="12.44140625" style="46" customWidth="1"/>
    <col min="13591" max="13591" width="11.109375" style="46" customWidth="1"/>
    <col min="13592" max="13592" width="15.44140625" style="46" customWidth="1"/>
    <col min="13593" max="13594" width="0" style="46" hidden="1" customWidth="1"/>
    <col min="13595" max="13595" width="15" style="46" customWidth="1"/>
    <col min="13596" max="13596" width="9.44140625" style="46" customWidth="1"/>
    <col min="13597" max="13597" width="10.5546875" style="46" customWidth="1"/>
    <col min="13598" max="13598" width="9.5546875" style="46" customWidth="1"/>
    <col min="13599" max="13599" width="11.44140625" style="46" customWidth="1"/>
    <col min="13600" max="13600" width="9.109375" style="46"/>
    <col min="13601" max="13601" width="12.5546875" style="46" bestFit="1" customWidth="1"/>
    <col min="13602" max="13602" width="20.109375" style="46" bestFit="1" customWidth="1"/>
    <col min="13603" max="13824" width="9.109375" style="46"/>
    <col min="13825" max="13825" width="5.44140625" style="46" customWidth="1"/>
    <col min="13826" max="13826" width="45.109375" style="46" customWidth="1"/>
    <col min="13827" max="13827" width="15.109375" style="46" customWidth="1"/>
    <col min="13828" max="13828" width="16.44140625" style="46" customWidth="1"/>
    <col min="13829" max="13829" width="17.109375" style="46" customWidth="1"/>
    <col min="13830" max="13832" width="0" style="46" hidden="1" customWidth="1"/>
    <col min="13833" max="13834" width="15.88671875" style="46" customWidth="1"/>
    <col min="13835" max="13835" width="11.109375" style="46" customWidth="1"/>
    <col min="13836" max="13836" width="11.88671875" style="46" customWidth="1"/>
    <col min="13837" max="13837" width="10.44140625" style="46" customWidth="1"/>
    <col min="13838" max="13838" width="16.44140625" style="46" customWidth="1"/>
    <col min="13839" max="13839" width="14.109375" style="46" customWidth="1"/>
    <col min="13840" max="13840" width="15.88671875" style="46" customWidth="1"/>
    <col min="13841" max="13842" width="0" style="46" hidden="1" customWidth="1"/>
    <col min="13843" max="13843" width="11.88671875" style="46" customWidth="1"/>
    <col min="13844" max="13844" width="15.88671875" style="46" customWidth="1"/>
    <col min="13845" max="13845" width="15.44140625" style="46" customWidth="1"/>
    <col min="13846" max="13846" width="12.44140625" style="46" customWidth="1"/>
    <col min="13847" max="13847" width="11.109375" style="46" customWidth="1"/>
    <col min="13848" max="13848" width="15.44140625" style="46" customWidth="1"/>
    <col min="13849" max="13850" width="0" style="46" hidden="1" customWidth="1"/>
    <col min="13851" max="13851" width="15" style="46" customWidth="1"/>
    <col min="13852" max="13852" width="9.44140625" style="46" customWidth="1"/>
    <col min="13853" max="13853" width="10.5546875" style="46" customWidth="1"/>
    <col min="13854" max="13854" width="9.5546875" style="46" customWidth="1"/>
    <col min="13855" max="13855" width="11.44140625" style="46" customWidth="1"/>
    <col min="13856" max="13856" width="9.109375" style="46"/>
    <col min="13857" max="13857" width="12.5546875" style="46" bestFit="1" customWidth="1"/>
    <col min="13858" max="13858" width="20.109375" style="46" bestFit="1" customWidth="1"/>
    <col min="13859" max="14080" width="9.109375" style="46"/>
    <col min="14081" max="14081" width="5.44140625" style="46" customWidth="1"/>
    <col min="14082" max="14082" width="45.109375" style="46" customWidth="1"/>
    <col min="14083" max="14083" width="15.109375" style="46" customWidth="1"/>
    <col min="14084" max="14084" width="16.44140625" style="46" customWidth="1"/>
    <col min="14085" max="14085" width="17.109375" style="46" customWidth="1"/>
    <col min="14086" max="14088" width="0" style="46" hidden="1" customWidth="1"/>
    <col min="14089" max="14090" width="15.88671875" style="46" customWidth="1"/>
    <col min="14091" max="14091" width="11.109375" style="46" customWidth="1"/>
    <col min="14092" max="14092" width="11.88671875" style="46" customWidth="1"/>
    <col min="14093" max="14093" width="10.44140625" style="46" customWidth="1"/>
    <col min="14094" max="14094" width="16.44140625" style="46" customWidth="1"/>
    <col min="14095" max="14095" width="14.109375" style="46" customWidth="1"/>
    <col min="14096" max="14096" width="15.88671875" style="46" customWidth="1"/>
    <col min="14097" max="14098" width="0" style="46" hidden="1" customWidth="1"/>
    <col min="14099" max="14099" width="11.88671875" style="46" customWidth="1"/>
    <col min="14100" max="14100" width="15.88671875" style="46" customWidth="1"/>
    <col min="14101" max="14101" width="15.44140625" style="46" customWidth="1"/>
    <col min="14102" max="14102" width="12.44140625" style="46" customWidth="1"/>
    <col min="14103" max="14103" width="11.109375" style="46" customWidth="1"/>
    <col min="14104" max="14104" width="15.44140625" style="46" customWidth="1"/>
    <col min="14105" max="14106" width="0" style="46" hidden="1" customWidth="1"/>
    <col min="14107" max="14107" width="15" style="46" customWidth="1"/>
    <col min="14108" max="14108" width="9.44140625" style="46" customWidth="1"/>
    <col min="14109" max="14109" width="10.5546875" style="46" customWidth="1"/>
    <col min="14110" max="14110" width="9.5546875" style="46" customWidth="1"/>
    <col min="14111" max="14111" width="11.44140625" style="46" customWidth="1"/>
    <col min="14112" max="14112" width="9.109375" style="46"/>
    <col min="14113" max="14113" width="12.5546875" style="46" bestFit="1" customWidth="1"/>
    <col min="14114" max="14114" width="20.109375" style="46" bestFit="1" customWidth="1"/>
    <col min="14115" max="14336" width="9.109375" style="46"/>
    <col min="14337" max="14337" width="5.44140625" style="46" customWidth="1"/>
    <col min="14338" max="14338" width="45.109375" style="46" customWidth="1"/>
    <col min="14339" max="14339" width="15.109375" style="46" customWidth="1"/>
    <col min="14340" max="14340" width="16.44140625" style="46" customWidth="1"/>
    <col min="14341" max="14341" width="17.109375" style="46" customWidth="1"/>
    <col min="14342" max="14344" width="0" style="46" hidden="1" customWidth="1"/>
    <col min="14345" max="14346" width="15.88671875" style="46" customWidth="1"/>
    <col min="14347" max="14347" width="11.109375" style="46" customWidth="1"/>
    <col min="14348" max="14348" width="11.88671875" style="46" customWidth="1"/>
    <col min="14349" max="14349" width="10.44140625" style="46" customWidth="1"/>
    <col min="14350" max="14350" width="16.44140625" style="46" customWidth="1"/>
    <col min="14351" max="14351" width="14.109375" style="46" customWidth="1"/>
    <col min="14352" max="14352" width="15.88671875" style="46" customWidth="1"/>
    <col min="14353" max="14354" width="0" style="46" hidden="1" customWidth="1"/>
    <col min="14355" max="14355" width="11.88671875" style="46" customWidth="1"/>
    <col min="14356" max="14356" width="15.88671875" style="46" customWidth="1"/>
    <col min="14357" max="14357" width="15.44140625" style="46" customWidth="1"/>
    <col min="14358" max="14358" width="12.44140625" style="46" customWidth="1"/>
    <col min="14359" max="14359" width="11.109375" style="46" customWidth="1"/>
    <col min="14360" max="14360" width="15.44140625" style="46" customWidth="1"/>
    <col min="14361" max="14362" width="0" style="46" hidden="1" customWidth="1"/>
    <col min="14363" max="14363" width="15" style="46" customWidth="1"/>
    <col min="14364" max="14364" width="9.44140625" style="46" customWidth="1"/>
    <col min="14365" max="14365" width="10.5546875" style="46" customWidth="1"/>
    <col min="14366" max="14366" width="9.5546875" style="46" customWidth="1"/>
    <col min="14367" max="14367" width="11.44140625" style="46" customWidth="1"/>
    <col min="14368" max="14368" width="9.109375" style="46"/>
    <col min="14369" max="14369" width="12.5546875" style="46" bestFit="1" customWidth="1"/>
    <col min="14370" max="14370" width="20.109375" style="46" bestFit="1" customWidth="1"/>
    <col min="14371" max="14592" width="9.109375" style="46"/>
    <col min="14593" max="14593" width="5.44140625" style="46" customWidth="1"/>
    <col min="14594" max="14594" width="45.109375" style="46" customWidth="1"/>
    <col min="14595" max="14595" width="15.109375" style="46" customWidth="1"/>
    <col min="14596" max="14596" width="16.44140625" style="46" customWidth="1"/>
    <col min="14597" max="14597" width="17.109375" style="46" customWidth="1"/>
    <col min="14598" max="14600" width="0" style="46" hidden="1" customWidth="1"/>
    <col min="14601" max="14602" width="15.88671875" style="46" customWidth="1"/>
    <col min="14603" max="14603" width="11.109375" style="46" customWidth="1"/>
    <col min="14604" max="14604" width="11.88671875" style="46" customWidth="1"/>
    <col min="14605" max="14605" width="10.44140625" style="46" customWidth="1"/>
    <col min="14606" max="14606" width="16.44140625" style="46" customWidth="1"/>
    <col min="14607" max="14607" width="14.109375" style="46" customWidth="1"/>
    <col min="14608" max="14608" width="15.88671875" style="46" customWidth="1"/>
    <col min="14609" max="14610" width="0" style="46" hidden="1" customWidth="1"/>
    <col min="14611" max="14611" width="11.88671875" style="46" customWidth="1"/>
    <col min="14612" max="14612" width="15.88671875" style="46" customWidth="1"/>
    <col min="14613" max="14613" width="15.44140625" style="46" customWidth="1"/>
    <col min="14614" max="14614" width="12.44140625" style="46" customWidth="1"/>
    <col min="14615" max="14615" width="11.109375" style="46" customWidth="1"/>
    <col min="14616" max="14616" width="15.44140625" style="46" customWidth="1"/>
    <col min="14617" max="14618" width="0" style="46" hidden="1" customWidth="1"/>
    <col min="14619" max="14619" width="15" style="46" customWidth="1"/>
    <col min="14620" max="14620" width="9.44140625" style="46" customWidth="1"/>
    <col min="14621" max="14621" width="10.5546875" style="46" customWidth="1"/>
    <col min="14622" max="14622" width="9.5546875" style="46" customWidth="1"/>
    <col min="14623" max="14623" width="11.44140625" style="46" customWidth="1"/>
    <col min="14624" max="14624" width="9.109375" style="46"/>
    <col min="14625" max="14625" width="12.5546875" style="46" bestFit="1" customWidth="1"/>
    <col min="14626" max="14626" width="20.109375" style="46" bestFit="1" customWidth="1"/>
    <col min="14627" max="14848" width="9.109375" style="46"/>
    <col min="14849" max="14849" width="5.44140625" style="46" customWidth="1"/>
    <col min="14850" max="14850" width="45.109375" style="46" customWidth="1"/>
    <col min="14851" max="14851" width="15.109375" style="46" customWidth="1"/>
    <col min="14852" max="14852" width="16.44140625" style="46" customWidth="1"/>
    <col min="14853" max="14853" width="17.109375" style="46" customWidth="1"/>
    <col min="14854" max="14856" width="0" style="46" hidden="1" customWidth="1"/>
    <col min="14857" max="14858" width="15.88671875" style="46" customWidth="1"/>
    <col min="14859" max="14859" width="11.109375" style="46" customWidth="1"/>
    <col min="14860" max="14860" width="11.88671875" style="46" customWidth="1"/>
    <col min="14861" max="14861" width="10.44140625" style="46" customWidth="1"/>
    <col min="14862" max="14862" width="16.44140625" style="46" customWidth="1"/>
    <col min="14863" max="14863" width="14.109375" style="46" customWidth="1"/>
    <col min="14864" max="14864" width="15.88671875" style="46" customWidth="1"/>
    <col min="14865" max="14866" width="0" style="46" hidden="1" customWidth="1"/>
    <col min="14867" max="14867" width="11.88671875" style="46" customWidth="1"/>
    <col min="14868" max="14868" width="15.88671875" style="46" customWidth="1"/>
    <col min="14869" max="14869" width="15.44140625" style="46" customWidth="1"/>
    <col min="14870" max="14870" width="12.44140625" style="46" customWidth="1"/>
    <col min="14871" max="14871" width="11.109375" style="46" customWidth="1"/>
    <col min="14872" max="14872" width="15.44140625" style="46" customWidth="1"/>
    <col min="14873" max="14874" width="0" style="46" hidden="1" customWidth="1"/>
    <col min="14875" max="14875" width="15" style="46" customWidth="1"/>
    <col min="14876" max="14876" width="9.44140625" style="46" customWidth="1"/>
    <col min="14877" max="14877" width="10.5546875" style="46" customWidth="1"/>
    <col min="14878" max="14878" width="9.5546875" style="46" customWidth="1"/>
    <col min="14879" max="14879" width="11.44140625" style="46" customWidth="1"/>
    <col min="14880" max="14880" width="9.109375" style="46"/>
    <col min="14881" max="14881" width="12.5546875" style="46" bestFit="1" customWidth="1"/>
    <col min="14882" max="14882" width="20.109375" style="46" bestFit="1" customWidth="1"/>
    <col min="14883" max="15104" width="9.109375" style="46"/>
    <col min="15105" max="15105" width="5.44140625" style="46" customWidth="1"/>
    <col min="15106" max="15106" width="45.109375" style="46" customWidth="1"/>
    <col min="15107" max="15107" width="15.109375" style="46" customWidth="1"/>
    <col min="15108" max="15108" width="16.44140625" style="46" customWidth="1"/>
    <col min="15109" max="15109" width="17.109375" style="46" customWidth="1"/>
    <col min="15110" max="15112" width="0" style="46" hidden="1" customWidth="1"/>
    <col min="15113" max="15114" width="15.88671875" style="46" customWidth="1"/>
    <col min="15115" max="15115" width="11.109375" style="46" customWidth="1"/>
    <col min="15116" max="15116" width="11.88671875" style="46" customWidth="1"/>
    <col min="15117" max="15117" width="10.44140625" style="46" customWidth="1"/>
    <col min="15118" max="15118" width="16.44140625" style="46" customWidth="1"/>
    <col min="15119" max="15119" width="14.109375" style="46" customWidth="1"/>
    <col min="15120" max="15120" width="15.88671875" style="46" customWidth="1"/>
    <col min="15121" max="15122" width="0" style="46" hidden="1" customWidth="1"/>
    <col min="15123" max="15123" width="11.88671875" style="46" customWidth="1"/>
    <col min="15124" max="15124" width="15.88671875" style="46" customWidth="1"/>
    <col min="15125" max="15125" width="15.44140625" style="46" customWidth="1"/>
    <col min="15126" max="15126" width="12.44140625" style="46" customWidth="1"/>
    <col min="15127" max="15127" width="11.109375" style="46" customWidth="1"/>
    <col min="15128" max="15128" width="15.44140625" style="46" customWidth="1"/>
    <col min="15129" max="15130" width="0" style="46" hidden="1" customWidth="1"/>
    <col min="15131" max="15131" width="15" style="46" customWidth="1"/>
    <col min="15132" max="15132" width="9.44140625" style="46" customWidth="1"/>
    <col min="15133" max="15133" width="10.5546875" style="46" customWidth="1"/>
    <col min="15134" max="15134" width="9.5546875" style="46" customWidth="1"/>
    <col min="15135" max="15135" width="11.44140625" style="46" customWidth="1"/>
    <col min="15136" max="15136" width="9.109375" style="46"/>
    <col min="15137" max="15137" width="12.5546875" style="46" bestFit="1" customWidth="1"/>
    <col min="15138" max="15138" width="20.109375" style="46" bestFit="1" customWidth="1"/>
    <col min="15139" max="15360" width="9.109375" style="46"/>
    <col min="15361" max="15361" width="5.44140625" style="46" customWidth="1"/>
    <col min="15362" max="15362" width="45.109375" style="46" customWidth="1"/>
    <col min="15363" max="15363" width="15.109375" style="46" customWidth="1"/>
    <col min="15364" max="15364" width="16.44140625" style="46" customWidth="1"/>
    <col min="15365" max="15365" width="17.109375" style="46" customWidth="1"/>
    <col min="15366" max="15368" width="0" style="46" hidden="1" customWidth="1"/>
    <col min="15369" max="15370" width="15.88671875" style="46" customWidth="1"/>
    <col min="15371" max="15371" width="11.109375" style="46" customWidth="1"/>
    <col min="15372" max="15372" width="11.88671875" style="46" customWidth="1"/>
    <col min="15373" max="15373" width="10.44140625" style="46" customWidth="1"/>
    <col min="15374" max="15374" width="16.44140625" style="46" customWidth="1"/>
    <col min="15375" max="15375" width="14.109375" style="46" customWidth="1"/>
    <col min="15376" max="15376" width="15.88671875" style="46" customWidth="1"/>
    <col min="15377" max="15378" width="0" style="46" hidden="1" customWidth="1"/>
    <col min="15379" max="15379" width="11.88671875" style="46" customWidth="1"/>
    <col min="15380" max="15380" width="15.88671875" style="46" customWidth="1"/>
    <col min="15381" max="15381" width="15.44140625" style="46" customWidth="1"/>
    <col min="15382" max="15382" width="12.44140625" style="46" customWidth="1"/>
    <col min="15383" max="15383" width="11.109375" style="46" customWidth="1"/>
    <col min="15384" max="15384" width="15.44140625" style="46" customWidth="1"/>
    <col min="15385" max="15386" width="0" style="46" hidden="1" customWidth="1"/>
    <col min="15387" max="15387" width="15" style="46" customWidth="1"/>
    <col min="15388" max="15388" width="9.44140625" style="46" customWidth="1"/>
    <col min="15389" max="15389" width="10.5546875" style="46" customWidth="1"/>
    <col min="15390" max="15390" width="9.5546875" style="46" customWidth="1"/>
    <col min="15391" max="15391" width="11.44140625" style="46" customWidth="1"/>
    <col min="15392" max="15392" width="9.109375" style="46"/>
    <col min="15393" max="15393" width="12.5546875" style="46" bestFit="1" customWidth="1"/>
    <col min="15394" max="15394" width="20.109375" style="46" bestFit="1" customWidth="1"/>
    <col min="15395" max="15616" width="9.109375" style="46"/>
    <col min="15617" max="15617" width="5.44140625" style="46" customWidth="1"/>
    <col min="15618" max="15618" width="45.109375" style="46" customWidth="1"/>
    <col min="15619" max="15619" width="15.109375" style="46" customWidth="1"/>
    <col min="15620" max="15620" width="16.44140625" style="46" customWidth="1"/>
    <col min="15621" max="15621" width="17.109375" style="46" customWidth="1"/>
    <col min="15622" max="15624" width="0" style="46" hidden="1" customWidth="1"/>
    <col min="15625" max="15626" width="15.88671875" style="46" customWidth="1"/>
    <col min="15627" max="15627" width="11.109375" style="46" customWidth="1"/>
    <col min="15628" max="15628" width="11.88671875" style="46" customWidth="1"/>
    <col min="15629" max="15629" width="10.44140625" style="46" customWidth="1"/>
    <col min="15630" max="15630" width="16.44140625" style="46" customWidth="1"/>
    <col min="15631" max="15631" width="14.109375" style="46" customWidth="1"/>
    <col min="15632" max="15632" width="15.88671875" style="46" customWidth="1"/>
    <col min="15633" max="15634" width="0" style="46" hidden="1" customWidth="1"/>
    <col min="15635" max="15635" width="11.88671875" style="46" customWidth="1"/>
    <col min="15636" max="15636" width="15.88671875" style="46" customWidth="1"/>
    <col min="15637" max="15637" width="15.44140625" style="46" customWidth="1"/>
    <col min="15638" max="15638" width="12.44140625" style="46" customWidth="1"/>
    <col min="15639" max="15639" width="11.109375" style="46" customWidth="1"/>
    <col min="15640" max="15640" width="15.44140625" style="46" customWidth="1"/>
    <col min="15641" max="15642" width="0" style="46" hidden="1" customWidth="1"/>
    <col min="15643" max="15643" width="15" style="46" customWidth="1"/>
    <col min="15644" max="15644" width="9.44140625" style="46" customWidth="1"/>
    <col min="15645" max="15645" width="10.5546875" style="46" customWidth="1"/>
    <col min="15646" max="15646" width="9.5546875" style="46" customWidth="1"/>
    <col min="15647" max="15647" width="11.44140625" style="46" customWidth="1"/>
    <col min="15648" max="15648" width="9.109375" style="46"/>
    <col min="15649" max="15649" width="12.5546875" style="46" bestFit="1" customWidth="1"/>
    <col min="15650" max="15650" width="20.109375" style="46" bestFit="1" customWidth="1"/>
    <col min="15651" max="15872" width="9.109375" style="46"/>
    <col min="15873" max="15873" width="5.44140625" style="46" customWidth="1"/>
    <col min="15874" max="15874" width="45.109375" style="46" customWidth="1"/>
    <col min="15875" max="15875" width="15.109375" style="46" customWidth="1"/>
    <col min="15876" max="15876" width="16.44140625" style="46" customWidth="1"/>
    <col min="15877" max="15877" width="17.109375" style="46" customWidth="1"/>
    <col min="15878" max="15880" width="0" style="46" hidden="1" customWidth="1"/>
    <col min="15881" max="15882" width="15.88671875" style="46" customWidth="1"/>
    <col min="15883" max="15883" width="11.109375" style="46" customWidth="1"/>
    <col min="15884" max="15884" width="11.88671875" style="46" customWidth="1"/>
    <col min="15885" max="15885" width="10.44140625" style="46" customWidth="1"/>
    <col min="15886" max="15886" width="16.44140625" style="46" customWidth="1"/>
    <col min="15887" max="15887" width="14.109375" style="46" customWidth="1"/>
    <col min="15888" max="15888" width="15.88671875" style="46" customWidth="1"/>
    <col min="15889" max="15890" width="0" style="46" hidden="1" customWidth="1"/>
    <col min="15891" max="15891" width="11.88671875" style="46" customWidth="1"/>
    <col min="15892" max="15892" width="15.88671875" style="46" customWidth="1"/>
    <col min="15893" max="15893" width="15.44140625" style="46" customWidth="1"/>
    <col min="15894" max="15894" width="12.44140625" style="46" customWidth="1"/>
    <col min="15895" max="15895" width="11.109375" style="46" customWidth="1"/>
    <col min="15896" max="15896" width="15.44140625" style="46" customWidth="1"/>
    <col min="15897" max="15898" width="0" style="46" hidden="1" customWidth="1"/>
    <col min="15899" max="15899" width="15" style="46" customWidth="1"/>
    <col min="15900" max="15900" width="9.44140625" style="46" customWidth="1"/>
    <col min="15901" max="15901" width="10.5546875" style="46" customWidth="1"/>
    <col min="15902" max="15902" width="9.5546875" style="46" customWidth="1"/>
    <col min="15903" max="15903" width="11.44140625" style="46" customWidth="1"/>
    <col min="15904" max="15904" width="9.109375" style="46"/>
    <col min="15905" max="15905" width="12.5546875" style="46" bestFit="1" customWidth="1"/>
    <col min="15906" max="15906" width="20.109375" style="46" bestFit="1" customWidth="1"/>
    <col min="15907" max="16128" width="9.109375" style="46"/>
    <col min="16129" max="16129" width="5.44140625" style="46" customWidth="1"/>
    <col min="16130" max="16130" width="45.109375" style="46" customWidth="1"/>
    <col min="16131" max="16131" width="15.109375" style="46" customWidth="1"/>
    <col min="16132" max="16132" width="16.44140625" style="46" customWidth="1"/>
    <col min="16133" max="16133" width="17.109375" style="46" customWidth="1"/>
    <col min="16134" max="16136" width="0" style="46" hidden="1" customWidth="1"/>
    <col min="16137" max="16138" width="15.88671875" style="46" customWidth="1"/>
    <col min="16139" max="16139" width="11.109375" style="46" customWidth="1"/>
    <col min="16140" max="16140" width="11.88671875" style="46" customWidth="1"/>
    <col min="16141" max="16141" width="10.44140625" style="46" customWidth="1"/>
    <col min="16142" max="16142" width="16.44140625" style="46" customWidth="1"/>
    <col min="16143" max="16143" width="14.109375" style="46" customWidth="1"/>
    <col min="16144" max="16144" width="15.88671875" style="46" customWidth="1"/>
    <col min="16145" max="16146" width="0" style="46" hidden="1" customWidth="1"/>
    <col min="16147" max="16147" width="11.88671875" style="46" customWidth="1"/>
    <col min="16148" max="16148" width="15.88671875" style="46" customWidth="1"/>
    <col min="16149" max="16149" width="15.44140625" style="46" customWidth="1"/>
    <col min="16150" max="16150" width="12.44140625" style="46" customWidth="1"/>
    <col min="16151" max="16151" width="11.109375" style="46" customWidth="1"/>
    <col min="16152" max="16152" width="15.44140625" style="46" customWidth="1"/>
    <col min="16153" max="16154" width="0" style="46" hidden="1" customWidth="1"/>
    <col min="16155" max="16155" width="15" style="46" customWidth="1"/>
    <col min="16156" max="16156" width="9.44140625" style="46" customWidth="1"/>
    <col min="16157" max="16157" width="10.5546875" style="46" customWidth="1"/>
    <col min="16158" max="16158" width="9.5546875" style="46" customWidth="1"/>
    <col min="16159" max="16159" width="11.44140625" style="46" customWidth="1"/>
    <col min="16160" max="16160" width="9.109375" style="46"/>
    <col min="16161" max="16161" width="12.5546875" style="46" bestFit="1" customWidth="1"/>
    <col min="16162" max="16162" width="20.109375" style="46" bestFit="1" customWidth="1"/>
    <col min="16163" max="16384" width="9.109375" style="46"/>
  </cols>
  <sheetData>
    <row r="1" spans="1:35" ht="16.8" x14ac:dyDescent="0.3">
      <c r="A1" s="174"/>
      <c r="B1" s="301"/>
      <c r="C1" s="301"/>
      <c r="D1" s="49"/>
      <c r="E1" s="50"/>
      <c r="F1" s="50"/>
      <c r="G1" s="50"/>
      <c r="H1" s="50"/>
      <c r="O1" s="49"/>
      <c r="P1" s="50"/>
      <c r="Q1" s="50"/>
      <c r="R1" s="50"/>
      <c r="AB1" s="52"/>
      <c r="AC1" s="298" t="s">
        <v>99</v>
      </c>
      <c r="AD1" s="298"/>
      <c r="AE1" s="298"/>
      <c r="AF1" s="46"/>
    </row>
    <row r="2" spans="1:35" x14ac:dyDescent="0.3">
      <c r="A2" s="53"/>
      <c r="C2" s="50"/>
      <c r="D2" s="49"/>
      <c r="G2" s="50"/>
      <c r="O2" s="49"/>
      <c r="AB2" s="50"/>
      <c r="AF2" s="46"/>
    </row>
    <row r="3" spans="1:35" ht="21.75" customHeight="1" x14ac:dyDescent="0.3">
      <c r="A3" s="291" t="s">
        <v>254</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175"/>
    </row>
    <row r="4" spans="1:35" ht="21.75" customHeight="1" x14ac:dyDescent="0.3">
      <c r="A4" s="300" t="s">
        <v>538</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175"/>
    </row>
    <row r="5" spans="1:35" ht="21.75" customHeight="1" x14ac:dyDescent="0.3">
      <c r="A5" s="281"/>
      <c r="B5" s="176"/>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5"/>
    </row>
    <row r="6" spans="1:35" x14ac:dyDescent="0.3">
      <c r="B6" s="51"/>
      <c r="C6" s="50"/>
      <c r="D6" s="50"/>
      <c r="E6" s="50"/>
      <c r="F6" s="50"/>
      <c r="G6" s="50"/>
      <c r="H6" s="50"/>
      <c r="I6" s="50"/>
      <c r="J6" s="50"/>
      <c r="K6" s="50"/>
      <c r="L6" s="50"/>
      <c r="M6" s="50"/>
      <c r="N6" s="50"/>
      <c r="O6" s="50"/>
      <c r="P6" s="50"/>
      <c r="Q6" s="50"/>
      <c r="R6" s="50"/>
      <c r="S6" s="50"/>
      <c r="T6" s="50"/>
      <c r="U6" s="50"/>
      <c r="W6" s="49"/>
      <c r="X6" s="50"/>
      <c r="Y6" s="50"/>
      <c r="Z6" s="50"/>
      <c r="AA6" s="50"/>
      <c r="AB6" s="302"/>
      <c r="AC6" s="302"/>
      <c r="AD6" s="303" t="s">
        <v>312</v>
      </c>
      <c r="AE6" s="303"/>
      <c r="AF6" s="46"/>
    </row>
    <row r="7" spans="1:35" s="178" customFormat="1" ht="25.95" customHeight="1" x14ac:dyDescent="0.25">
      <c r="A7" s="290" t="s">
        <v>2</v>
      </c>
      <c r="B7" s="290" t="s">
        <v>100</v>
      </c>
      <c r="C7" s="294" t="s">
        <v>37</v>
      </c>
      <c r="D7" s="304"/>
      <c r="E7" s="304"/>
      <c r="F7" s="304"/>
      <c r="G7" s="304"/>
      <c r="H7" s="304"/>
      <c r="I7" s="304"/>
      <c r="J7" s="304"/>
      <c r="K7" s="304"/>
      <c r="L7" s="304"/>
      <c r="M7" s="295"/>
      <c r="N7" s="294" t="s">
        <v>5</v>
      </c>
      <c r="O7" s="304"/>
      <c r="P7" s="304"/>
      <c r="Q7" s="304"/>
      <c r="R7" s="304"/>
      <c r="S7" s="304"/>
      <c r="T7" s="304"/>
      <c r="U7" s="304"/>
      <c r="V7" s="304"/>
      <c r="W7" s="304"/>
      <c r="X7" s="304"/>
      <c r="Y7" s="280"/>
      <c r="Z7" s="280"/>
      <c r="AA7" s="280"/>
      <c r="AB7" s="290" t="s">
        <v>6</v>
      </c>
      <c r="AC7" s="290"/>
      <c r="AD7" s="290"/>
      <c r="AE7" s="290"/>
    </row>
    <row r="8" spans="1:35" s="178" customFormat="1" ht="25.5" customHeight="1" x14ac:dyDescent="0.25">
      <c r="A8" s="290"/>
      <c r="B8" s="290"/>
      <c r="C8" s="290" t="s">
        <v>313</v>
      </c>
      <c r="D8" s="290" t="s">
        <v>102</v>
      </c>
      <c r="E8" s="290" t="s">
        <v>103</v>
      </c>
      <c r="F8" s="290" t="s">
        <v>249</v>
      </c>
      <c r="G8" s="294" t="s">
        <v>250</v>
      </c>
      <c r="H8" s="295"/>
      <c r="I8" s="290" t="s">
        <v>314</v>
      </c>
      <c r="J8" s="290" t="s">
        <v>315</v>
      </c>
      <c r="K8" s="290" t="s">
        <v>104</v>
      </c>
      <c r="L8" s="290"/>
      <c r="M8" s="290"/>
      <c r="N8" s="290" t="s">
        <v>101</v>
      </c>
      <c r="O8" s="290" t="s">
        <v>102</v>
      </c>
      <c r="P8" s="290" t="s">
        <v>103</v>
      </c>
      <c r="Q8" s="296" t="s">
        <v>127</v>
      </c>
      <c r="R8" s="297"/>
      <c r="S8" s="290" t="s">
        <v>314</v>
      </c>
      <c r="T8" s="290" t="s">
        <v>316</v>
      </c>
      <c r="U8" s="290" t="s">
        <v>104</v>
      </c>
      <c r="V8" s="290"/>
      <c r="W8" s="290"/>
      <c r="X8" s="290" t="s">
        <v>105</v>
      </c>
      <c r="Y8" s="294" t="s">
        <v>127</v>
      </c>
      <c r="Z8" s="295"/>
      <c r="AA8" s="290" t="s">
        <v>317</v>
      </c>
      <c r="AB8" s="290" t="s">
        <v>101</v>
      </c>
      <c r="AC8" s="299" t="s">
        <v>102</v>
      </c>
      <c r="AD8" s="299" t="s">
        <v>103</v>
      </c>
      <c r="AE8" s="299" t="s">
        <v>104</v>
      </c>
    </row>
    <row r="9" spans="1:35" s="182" customFormat="1" ht="97.95" customHeight="1" x14ac:dyDescent="0.25">
      <c r="A9" s="290"/>
      <c r="B9" s="290"/>
      <c r="C9" s="290"/>
      <c r="D9" s="290"/>
      <c r="E9" s="290"/>
      <c r="F9" s="290"/>
      <c r="G9" s="279" t="s">
        <v>131</v>
      </c>
      <c r="H9" s="279" t="s">
        <v>130</v>
      </c>
      <c r="I9" s="290"/>
      <c r="J9" s="290"/>
      <c r="K9" s="282" t="s">
        <v>101</v>
      </c>
      <c r="L9" s="282" t="s">
        <v>106</v>
      </c>
      <c r="M9" s="282" t="s">
        <v>107</v>
      </c>
      <c r="N9" s="290"/>
      <c r="O9" s="290"/>
      <c r="P9" s="290"/>
      <c r="Q9" s="181" t="s">
        <v>165</v>
      </c>
      <c r="R9" s="181" t="s">
        <v>166</v>
      </c>
      <c r="S9" s="290"/>
      <c r="T9" s="290"/>
      <c r="U9" s="282" t="s">
        <v>101</v>
      </c>
      <c r="V9" s="282" t="s">
        <v>106</v>
      </c>
      <c r="W9" s="282" t="s">
        <v>107</v>
      </c>
      <c r="X9" s="290"/>
      <c r="Y9" s="279" t="s">
        <v>168</v>
      </c>
      <c r="Z9" s="279" t="s">
        <v>167</v>
      </c>
      <c r="AA9" s="290"/>
      <c r="AB9" s="290"/>
      <c r="AC9" s="299"/>
      <c r="AD9" s="299"/>
      <c r="AE9" s="299"/>
    </row>
    <row r="10" spans="1:35" s="185" customFormat="1" ht="18.75" customHeight="1" x14ac:dyDescent="0.25">
      <c r="A10" s="183" t="s">
        <v>7</v>
      </c>
      <c r="B10" s="183" t="s">
        <v>8</v>
      </c>
      <c r="C10" s="183" t="s">
        <v>158</v>
      </c>
      <c r="D10" s="183">
        <v>2</v>
      </c>
      <c r="E10" s="183">
        <v>3</v>
      </c>
      <c r="F10" s="183"/>
      <c r="G10" s="183"/>
      <c r="H10" s="183"/>
      <c r="I10" s="183">
        <v>4</v>
      </c>
      <c r="J10" s="183">
        <v>5</v>
      </c>
      <c r="K10" s="183" t="s">
        <v>147</v>
      </c>
      <c r="L10" s="183">
        <v>7</v>
      </c>
      <c r="M10" s="183">
        <v>8</v>
      </c>
      <c r="N10" s="184" t="s">
        <v>492</v>
      </c>
      <c r="O10" s="183">
        <v>10</v>
      </c>
      <c r="P10" s="183">
        <v>11</v>
      </c>
      <c r="Q10" s="183"/>
      <c r="R10" s="183"/>
      <c r="S10" s="183">
        <v>12</v>
      </c>
      <c r="T10" s="183">
        <v>13</v>
      </c>
      <c r="U10" s="183" t="s">
        <v>159</v>
      </c>
      <c r="V10" s="183">
        <v>15</v>
      </c>
      <c r="W10" s="183">
        <v>16</v>
      </c>
      <c r="X10" s="183">
        <v>17</v>
      </c>
      <c r="Y10" s="183">
        <v>18</v>
      </c>
      <c r="Z10" s="183">
        <v>19</v>
      </c>
      <c r="AA10" s="183">
        <v>18</v>
      </c>
      <c r="AB10" s="183" t="s">
        <v>493</v>
      </c>
      <c r="AC10" s="183" t="s">
        <v>494</v>
      </c>
      <c r="AD10" s="183" t="s">
        <v>495</v>
      </c>
      <c r="AE10" s="183" t="s">
        <v>496</v>
      </c>
    </row>
    <row r="11" spans="1:35" s="151" customFormat="1" ht="18.75" customHeight="1" x14ac:dyDescent="0.3">
      <c r="A11" s="186"/>
      <c r="B11" s="186" t="s">
        <v>101</v>
      </c>
      <c r="C11" s="187">
        <f>D11+E11+I11+J11+K11</f>
        <v>5343178.0010000002</v>
      </c>
      <c r="D11" s="186">
        <f t="shared" ref="D11:M11" si="0">D12+D110+D111+D112+D113+D114+D102</f>
        <v>2272491.0010000002</v>
      </c>
      <c r="E11" s="186">
        <f t="shared" si="0"/>
        <v>2097750</v>
      </c>
      <c r="F11" s="186">
        <f t="shared" si="0"/>
        <v>1641206</v>
      </c>
      <c r="G11" s="186">
        <f t="shared" si="0"/>
        <v>149330</v>
      </c>
      <c r="H11" s="186">
        <f t="shared" si="0"/>
        <v>307214</v>
      </c>
      <c r="I11" s="186">
        <f t="shared" si="0"/>
        <v>1300</v>
      </c>
      <c r="J11" s="186">
        <f t="shared" si="0"/>
        <v>814749</v>
      </c>
      <c r="K11" s="186">
        <f t="shared" si="0"/>
        <v>156888</v>
      </c>
      <c r="L11" s="186">
        <f t="shared" si="0"/>
        <v>143516</v>
      </c>
      <c r="M11" s="186">
        <f t="shared" si="0"/>
        <v>13372</v>
      </c>
      <c r="N11" s="186">
        <f t="shared" ref="N11:AA11" si="1">N12+N110+N111+N112+N113+N114+N115</f>
        <v>9027415.0441269986</v>
      </c>
      <c r="O11" s="186">
        <f t="shared" si="1"/>
        <v>1630998.2421399998</v>
      </c>
      <c r="P11" s="186">
        <f t="shared" si="1"/>
        <v>1868358.7552919998</v>
      </c>
      <c r="Q11" s="186">
        <f t="shared" si="1"/>
        <v>1483142.0845370002</v>
      </c>
      <c r="R11" s="186">
        <f t="shared" si="1"/>
        <v>387706.50207299995</v>
      </c>
      <c r="S11" s="186">
        <f t="shared" si="1"/>
        <v>18520.929</v>
      </c>
      <c r="T11" s="186">
        <f t="shared" si="1"/>
        <v>3299196.0079999999</v>
      </c>
      <c r="U11" s="186">
        <f t="shared" si="1"/>
        <v>165821.574395</v>
      </c>
      <c r="V11" s="186">
        <f t="shared" si="1"/>
        <v>153995.07577</v>
      </c>
      <c r="W11" s="186">
        <f t="shared" si="1"/>
        <v>11826.498624999998</v>
      </c>
      <c r="X11" s="186">
        <f t="shared" si="1"/>
        <v>1859411.5550220001</v>
      </c>
      <c r="Y11" s="186">
        <f t="shared" si="1"/>
        <v>0</v>
      </c>
      <c r="Z11" s="186">
        <f t="shared" si="1"/>
        <v>0</v>
      </c>
      <c r="AA11" s="186">
        <f t="shared" si="1"/>
        <v>185107.980278</v>
      </c>
      <c r="AB11" s="188">
        <f>N11/C11%</f>
        <v>168.95216746358585</v>
      </c>
      <c r="AC11" s="188">
        <f>O11/D11%</f>
        <v>71.771383975658679</v>
      </c>
      <c r="AD11" s="188">
        <f>P11/E11%</f>
        <v>89.064891206864488</v>
      </c>
      <c r="AE11" s="188">
        <f>U11/K11%</f>
        <v>105.69423690467084</v>
      </c>
    </row>
    <row r="12" spans="1:35" s="151" customFormat="1" ht="24.75" customHeight="1" x14ac:dyDescent="0.3">
      <c r="A12" s="187" t="s">
        <v>41</v>
      </c>
      <c r="B12" s="189" t="s">
        <v>318</v>
      </c>
      <c r="C12" s="187">
        <f>D12+E12+I12+J12+K12</f>
        <v>4271294.0010000002</v>
      </c>
      <c r="D12" s="187">
        <f t="shared" ref="D12:Z12" si="2">D13+D90</f>
        <v>2148364.0010000002</v>
      </c>
      <c r="E12" s="187">
        <f t="shared" si="2"/>
        <v>1966042</v>
      </c>
      <c r="F12" s="187">
        <f t="shared" si="2"/>
        <v>1509498</v>
      </c>
      <c r="G12" s="187">
        <f t="shared" si="2"/>
        <v>149330</v>
      </c>
      <c r="H12" s="187">
        <f t="shared" si="2"/>
        <v>307214</v>
      </c>
      <c r="I12" s="187">
        <f t="shared" si="2"/>
        <v>0</v>
      </c>
      <c r="J12" s="187">
        <f t="shared" si="2"/>
        <v>0</v>
      </c>
      <c r="K12" s="187">
        <f t="shared" si="2"/>
        <v>156888</v>
      </c>
      <c r="L12" s="187">
        <f t="shared" si="2"/>
        <v>143516</v>
      </c>
      <c r="M12" s="187">
        <f t="shared" si="2"/>
        <v>13372</v>
      </c>
      <c r="N12" s="187">
        <f t="shared" si="2"/>
        <v>3665178.5718269995</v>
      </c>
      <c r="O12" s="187">
        <f t="shared" si="2"/>
        <v>1630998.2421399998</v>
      </c>
      <c r="P12" s="187">
        <f t="shared" si="2"/>
        <v>1868358.7552919998</v>
      </c>
      <c r="Q12" s="187">
        <f t="shared" si="2"/>
        <v>1483142.0845370002</v>
      </c>
      <c r="R12" s="187">
        <f t="shared" si="2"/>
        <v>387706.50207299995</v>
      </c>
      <c r="S12" s="187">
        <f t="shared" si="2"/>
        <v>0</v>
      </c>
      <c r="T12" s="187">
        <f t="shared" si="2"/>
        <v>0</v>
      </c>
      <c r="U12" s="187">
        <f t="shared" si="2"/>
        <v>165821.574395</v>
      </c>
      <c r="V12" s="187">
        <f t="shared" si="2"/>
        <v>153995.07577</v>
      </c>
      <c r="W12" s="187">
        <f t="shared" si="2"/>
        <v>11826.498624999998</v>
      </c>
      <c r="X12" s="187">
        <f t="shared" si="2"/>
        <v>0</v>
      </c>
      <c r="Y12" s="187">
        <f t="shared" si="2"/>
        <v>0</v>
      </c>
      <c r="Z12" s="187">
        <f t="shared" si="2"/>
        <v>0</v>
      </c>
      <c r="AA12" s="187"/>
      <c r="AB12" s="188">
        <f t="shared" ref="AB12:AB62" si="3">N12/C12%</f>
        <v>85.809559608139921</v>
      </c>
      <c r="AC12" s="188">
        <f>O12/D12%</f>
        <v>75.918151736894586</v>
      </c>
      <c r="AD12" s="188">
        <f t="shared" ref="AD12:AD62" si="4">P12/E12%</f>
        <v>95.031477216254785</v>
      </c>
      <c r="AE12" s="188">
        <f>U12/K12%</f>
        <v>105.69423690467084</v>
      </c>
      <c r="AG12" s="153"/>
    </row>
    <row r="13" spans="1:35" s="151" customFormat="1" ht="33.75" customHeight="1" x14ac:dyDescent="0.3">
      <c r="A13" s="187" t="s">
        <v>319</v>
      </c>
      <c r="B13" s="189" t="s">
        <v>320</v>
      </c>
      <c r="C13" s="187">
        <f>SUM(C14:C89)</f>
        <v>4000418.4759999993</v>
      </c>
      <c r="D13" s="187">
        <f t="shared" ref="D13:AA13" si="5">SUM(D14:D89)</f>
        <v>2021004.476</v>
      </c>
      <c r="E13" s="187">
        <f t="shared" si="5"/>
        <v>1966042</v>
      </c>
      <c r="F13" s="187">
        <f t="shared" si="5"/>
        <v>1509498</v>
      </c>
      <c r="G13" s="187">
        <f t="shared" si="5"/>
        <v>149330</v>
      </c>
      <c r="H13" s="187">
        <f t="shared" si="5"/>
        <v>307214</v>
      </c>
      <c r="I13" s="187">
        <f t="shared" si="5"/>
        <v>0</v>
      </c>
      <c r="J13" s="187">
        <f t="shared" si="5"/>
        <v>0</v>
      </c>
      <c r="K13" s="187">
        <f t="shared" si="5"/>
        <v>13372</v>
      </c>
      <c r="L13" s="187">
        <f t="shared" si="5"/>
        <v>0</v>
      </c>
      <c r="M13" s="187">
        <f t="shared" si="5"/>
        <v>13372</v>
      </c>
      <c r="N13" s="187">
        <f t="shared" si="5"/>
        <v>3371863.2432809994</v>
      </c>
      <c r="O13" s="187">
        <f t="shared" si="5"/>
        <v>1491677.9893639998</v>
      </c>
      <c r="P13" s="187">
        <f t="shared" si="5"/>
        <v>1868358.7552919998</v>
      </c>
      <c r="Q13" s="187">
        <f t="shared" si="5"/>
        <v>1483142.0845370002</v>
      </c>
      <c r="R13" s="187">
        <f t="shared" si="5"/>
        <v>387706.50207299995</v>
      </c>
      <c r="S13" s="187">
        <f t="shared" si="5"/>
        <v>0</v>
      </c>
      <c r="T13" s="187">
        <f t="shared" si="5"/>
        <v>0</v>
      </c>
      <c r="U13" s="187">
        <f t="shared" si="5"/>
        <v>11826.498624999998</v>
      </c>
      <c r="V13" s="187">
        <f t="shared" si="5"/>
        <v>0</v>
      </c>
      <c r="W13" s="187">
        <f t="shared" si="5"/>
        <v>11826.498624999998</v>
      </c>
      <c r="X13" s="187">
        <f t="shared" si="5"/>
        <v>0</v>
      </c>
      <c r="Y13" s="187">
        <f t="shared" si="5"/>
        <v>0</v>
      </c>
      <c r="Z13" s="187">
        <f t="shared" si="5"/>
        <v>0</v>
      </c>
      <c r="AA13" s="187">
        <f t="shared" si="5"/>
        <v>0</v>
      </c>
      <c r="AB13" s="188">
        <f t="shared" si="3"/>
        <v>84.287762980549729</v>
      </c>
      <c r="AC13" s="188">
        <f>O13/D13%</f>
        <v>73.808742488109147</v>
      </c>
      <c r="AD13" s="188">
        <f t="shared" si="4"/>
        <v>95.031477216254785</v>
      </c>
      <c r="AE13" s="188">
        <f>U13/K13%</f>
        <v>88.442257141788801</v>
      </c>
      <c r="AG13" s="153"/>
      <c r="AH13" s="190"/>
      <c r="AI13" s="153"/>
    </row>
    <row r="14" spans="1:35" s="155" customFormat="1" ht="39.75" customHeight="1" x14ac:dyDescent="0.3">
      <c r="A14" s="191" t="s">
        <v>321</v>
      </c>
      <c r="B14" s="192" t="s">
        <v>322</v>
      </c>
      <c r="C14" s="193">
        <f>D14+E14+I14+J14+K14</f>
        <v>235941</v>
      </c>
      <c r="D14" s="193">
        <v>38495</v>
      </c>
      <c r="E14" s="193">
        <f>F14+G14+H14</f>
        <v>190556</v>
      </c>
      <c r="F14" s="193">
        <f>159904+9192</f>
        <v>169096</v>
      </c>
      <c r="G14" s="193"/>
      <c r="H14" s="193">
        <f>31302-11342+1500</f>
        <v>21460</v>
      </c>
      <c r="I14" s="193"/>
      <c r="J14" s="193"/>
      <c r="K14" s="193">
        <f t="shared" ref="K14:K76" si="6">L14+M14</f>
        <v>6890</v>
      </c>
      <c r="L14" s="193"/>
      <c r="M14" s="193">
        <f>3890+3000</f>
        <v>6890</v>
      </c>
      <c r="N14" s="193">
        <f>O14+P14+S14+T14+U14</f>
        <v>197776.60174699998</v>
      </c>
      <c r="O14" s="193">
        <v>35085.492653000001</v>
      </c>
      <c r="P14" s="194">
        <f>Q14+R14</f>
        <v>156840.43621999997</v>
      </c>
      <c r="Q14" s="193">
        <f>160610.581094-W14</f>
        <v>154759.90821999998</v>
      </c>
      <c r="R14" s="194">
        <v>2080.5279999999998</v>
      </c>
      <c r="S14" s="193"/>
      <c r="T14" s="193"/>
      <c r="U14" s="193">
        <f t="shared" ref="U14:U35" si="7">V14+W14</f>
        <v>5850.6728739999999</v>
      </c>
      <c r="V14" s="193"/>
      <c r="W14" s="193">
        <f>(2418403874+1906724000+295001000+1230544000)/1000000</f>
        <v>5850.6728739999999</v>
      </c>
      <c r="X14" s="193"/>
      <c r="Y14" s="193"/>
      <c r="Z14" s="193"/>
      <c r="AA14" s="193"/>
      <c r="AB14" s="195">
        <f t="shared" si="3"/>
        <v>83.824600958290418</v>
      </c>
      <c r="AC14" s="195">
        <f>O14/D14%</f>
        <v>91.142986499545401</v>
      </c>
      <c r="AD14" s="195">
        <f>P14/E14%</f>
        <v>82.306742490396516</v>
      </c>
      <c r="AE14" s="195">
        <f>U14/K14%</f>
        <v>84.915426328011606</v>
      </c>
    </row>
    <row r="15" spans="1:35" s="155" customFormat="1" ht="24.75" customHeight="1" x14ac:dyDescent="0.3">
      <c r="A15" s="196" t="s">
        <v>323</v>
      </c>
      <c r="B15" s="197" t="s">
        <v>324</v>
      </c>
      <c r="C15" s="193">
        <f t="shared" ref="C15:C77" si="8">D15+E15+I15+J15+K15</f>
        <v>76648.626000000004</v>
      </c>
      <c r="D15" s="193">
        <v>3924.6260000000002</v>
      </c>
      <c r="E15" s="193">
        <f t="shared" ref="E15:E77" si="9">F15+G15+H15</f>
        <v>72724</v>
      </c>
      <c r="F15" s="193">
        <v>28053</v>
      </c>
      <c r="G15" s="193"/>
      <c r="H15" s="193">
        <f>477+44194</f>
        <v>44671</v>
      </c>
      <c r="I15" s="193"/>
      <c r="J15" s="193"/>
      <c r="K15" s="193">
        <f t="shared" si="6"/>
        <v>0</v>
      </c>
      <c r="L15" s="193"/>
      <c r="M15" s="193"/>
      <c r="N15" s="193">
        <f>O15+P15+S15+T15+U15</f>
        <v>77743.468875000006</v>
      </c>
      <c r="O15" s="193">
        <v>13521.389000000001</v>
      </c>
      <c r="P15" s="194">
        <f>Q15+R15</f>
        <v>64222.079875000003</v>
      </c>
      <c r="Q15" s="193">
        <v>64222.079875000003</v>
      </c>
      <c r="R15" s="193"/>
      <c r="S15" s="193"/>
      <c r="T15" s="193"/>
      <c r="U15" s="193">
        <f t="shared" si="7"/>
        <v>0</v>
      </c>
      <c r="V15" s="193"/>
      <c r="W15" s="193"/>
      <c r="X15" s="193"/>
      <c r="Y15" s="193"/>
      <c r="Z15" s="193"/>
      <c r="AA15" s="193"/>
      <c r="AB15" s="195">
        <f t="shared" si="3"/>
        <v>101.42839204319202</v>
      </c>
      <c r="AC15" s="195">
        <f>O15/D15%</f>
        <v>344.52681605839643</v>
      </c>
      <c r="AD15" s="195">
        <f t="shared" si="4"/>
        <v>88.309333748143672</v>
      </c>
      <c r="AE15" s="195"/>
      <c r="AG15" s="154"/>
    </row>
    <row r="16" spans="1:35" s="155" customFormat="1" ht="24.75" customHeight="1" x14ac:dyDescent="0.3">
      <c r="A16" s="191" t="s">
        <v>325</v>
      </c>
      <c r="B16" s="198" t="s">
        <v>326</v>
      </c>
      <c r="C16" s="193">
        <f t="shared" si="8"/>
        <v>5651</v>
      </c>
      <c r="D16" s="193"/>
      <c r="E16" s="193">
        <f t="shared" si="9"/>
        <v>5651</v>
      </c>
      <c r="F16" s="193">
        <v>5651</v>
      </c>
      <c r="G16" s="193"/>
      <c r="H16" s="193"/>
      <c r="I16" s="193"/>
      <c r="J16" s="193"/>
      <c r="K16" s="193">
        <f t="shared" si="6"/>
        <v>0</v>
      </c>
      <c r="L16" s="193"/>
      <c r="M16" s="193"/>
      <c r="N16" s="193">
        <f t="shared" ref="N16:N78" si="10">O16+P16+S16+T16+U16</f>
        <v>6519.4210000000003</v>
      </c>
      <c r="O16" s="193"/>
      <c r="P16" s="194">
        <v>6519.4210000000003</v>
      </c>
      <c r="Q16" s="193">
        <v>6519.4213220000001</v>
      </c>
      <c r="R16" s="194"/>
      <c r="S16" s="193"/>
      <c r="T16" s="193"/>
      <c r="U16" s="193">
        <f t="shared" si="7"/>
        <v>0</v>
      </c>
      <c r="V16" s="193"/>
      <c r="W16" s="193"/>
      <c r="X16" s="193"/>
      <c r="Y16" s="193"/>
      <c r="Z16" s="193"/>
      <c r="AA16" s="193"/>
      <c r="AB16" s="195">
        <f t="shared" si="3"/>
        <v>115.36756326313927</v>
      </c>
      <c r="AC16" s="195"/>
      <c r="AD16" s="195">
        <f t="shared" si="4"/>
        <v>115.36756326313927</v>
      </c>
      <c r="AE16" s="195"/>
    </row>
    <row r="17" spans="1:31" s="155" customFormat="1" ht="24.75" customHeight="1" x14ac:dyDescent="0.3">
      <c r="A17" s="196" t="s">
        <v>327</v>
      </c>
      <c r="B17" s="198" t="s">
        <v>328</v>
      </c>
      <c r="C17" s="193">
        <f t="shared" si="8"/>
        <v>31156</v>
      </c>
      <c r="D17" s="199"/>
      <c r="E17" s="193">
        <f t="shared" si="9"/>
        <v>31156</v>
      </c>
      <c r="F17" s="193">
        <v>30856</v>
      </c>
      <c r="G17" s="193"/>
      <c r="H17" s="193">
        <v>300</v>
      </c>
      <c r="I17" s="193"/>
      <c r="J17" s="193"/>
      <c r="K17" s="193">
        <f t="shared" si="6"/>
        <v>0</v>
      </c>
      <c r="L17" s="193"/>
      <c r="M17" s="193"/>
      <c r="N17" s="193">
        <f t="shared" si="10"/>
        <v>59158.771887000003</v>
      </c>
      <c r="O17" s="193"/>
      <c r="P17" s="194">
        <f>Q17+R17</f>
        <v>59158.771887000003</v>
      </c>
      <c r="Q17" s="193">
        <v>59158.771887000003</v>
      </c>
      <c r="R17" s="193"/>
      <c r="S17" s="193"/>
      <c r="T17" s="193"/>
      <c r="U17" s="193">
        <f t="shared" si="7"/>
        <v>0</v>
      </c>
      <c r="V17" s="193"/>
      <c r="W17" s="193"/>
      <c r="X17" s="193"/>
      <c r="Y17" s="193"/>
      <c r="Z17" s="193"/>
      <c r="AA17" s="193"/>
      <c r="AB17" s="195">
        <f t="shared" si="3"/>
        <v>189.87922675247145</v>
      </c>
      <c r="AC17" s="195"/>
      <c r="AD17" s="195">
        <f t="shared" si="4"/>
        <v>189.87922675247145</v>
      </c>
      <c r="AE17" s="195"/>
    </row>
    <row r="18" spans="1:31" s="155" customFormat="1" ht="24.75" customHeight="1" x14ac:dyDescent="0.3">
      <c r="A18" s="191" t="s">
        <v>329</v>
      </c>
      <c r="B18" s="192" t="s">
        <v>330</v>
      </c>
      <c r="C18" s="193">
        <f t="shared" si="8"/>
        <v>40165</v>
      </c>
      <c r="D18" s="193">
        <v>31320</v>
      </c>
      <c r="E18" s="193">
        <f t="shared" si="9"/>
        <v>8845</v>
      </c>
      <c r="F18" s="193">
        <v>8845</v>
      </c>
      <c r="G18" s="193"/>
      <c r="H18" s="193"/>
      <c r="I18" s="193"/>
      <c r="J18" s="193"/>
      <c r="K18" s="193">
        <f t="shared" si="6"/>
        <v>0</v>
      </c>
      <c r="L18" s="193"/>
      <c r="M18" s="193"/>
      <c r="N18" s="193">
        <f t="shared" si="10"/>
        <v>85153.110266999996</v>
      </c>
      <c r="O18" s="193">
        <v>76618.680271999998</v>
      </c>
      <c r="P18" s="194">
        <f t="shared" ref="P18:P80" si="11">Q18+R18</f>
        <v>8534.4299950000004</v>
      </c>
      <c r="Q18" s="194">
        <v>8534.4299950000004</v>
      </c>
      <c r="R18" s="193"/>
      <c r="S18" s="193"/>
      <c r="T18" s="193"/>
      <c r="U18" s="193">
        <f t="shared" si="7"/>
        <v>0</v>
      </c>
      <c r="V18" s="193"/>
      <c r="W18" s="193"/>
      <c r="X18" s="193"/>
      <c r="Y18" s="193"/>
      <c r="Z18" s="193"/>
      <c r="AA18" s="193"/>
      <c r="AB18" s="195">
        <f t="shared" si="3"/>
        <v>212.00824167060875</v>
      </c>
      <c r="AC18" s="195">
        <f>O18/D18%</f>
        <v>244.6318016347382</v>
      </c>
      <c r="AD18" s="195">
        <f t="shared" si="4"/>
        <v>96.488750650084796</v>
      </c>
      <c r="AE18" s="195"/>
    </row>
    <row r="19" spans="1:31" s="155" customFormat="1" ht="24.75" customHeight="1" x14ac:dyDescent="0.3">
      <c r="A19" s="196" t="s">
        <v>331</v>
      </c>
      <c r="B19" s="198" t="s">
        <v>332</v>
      </c>
      <c r="C19" s="193">
        <f t="shared" si="8"/>
        <v>435433.81099999999</v>
      </c>
      <c r="D19" s="193">
        <v>2725.8110000000001</v>
      </c>
      <c r="E19" s="193">
        <f t="shared" si="9"/>
        <v>432708</v>
      </c>
      <c r="F19" s="193">
        <f>346307+30992</f>
        <v>377299</v>
      </c>
      <c r="G19" s="193"/>
      <c r="H19" s="193">
        <f>689+1241+1758+562+40+6526+7555+38+7000+30000</f>
        <v>55409</v>
      </c>
      <c r="I19" s="193"/>
      <c r="J19" s="193"/>
      <c r="K19" s="193">
        <f t="shared" si="6"/>
        <v>0</v>
      </c>
      <c r="L19" s="193"/>
      <c r="M19" s="193"/>
      <c r="N19" s="193">
        <f t="shared" si="10"/>
        <v>399876.06708100002</v>
      </c>
      <c r="O19" s="193">
        <v>34999.601000000024</v>
      </c>
      <c r="P19" s="194">
        <f t="shared" si="11"/>
        <v>364876.46608099999</v>
      </c>
      <c r="Q19" s="200">
        <f>364582.966081+294-0.5</f>
        <v>364876.46608099999</v>
      </c>
      <c r="R19" s="193"/>
      <c r="S19" s="193"/>
      <c r="T19" s="193"/>
      <c r="U19" s="193">
        <f t="shared" si="7"/>
        <v>0</v>
      </c>
      <c r="V19" s="193"/>
      <c r="W19" s="193"/>
      <c r="X19" s="193"/>
      <c r="Y19" s="193"/>
      <c r="Z19" s="193"/>
      <c r="AA19" s="193"/>
      <c r="AB19" s="195">
        <f t="shared" si="3"/>
        <v>91.833949725369408</v>
      </c>
      <c r="AC19" s="195">
        <f>O19/D19%</f>
        <v>1284.0068882251933</v>
      </c>
      <c r="AD19" s="195">
        <f t="shared" si="4"/>
        <v>84.323947345785143</v>
      </c>
      <c r="AE19" s="195"/>
    </row>
    <row r="20" spans="1:31" s="155" customFormat="1" ht="24.75" customHeight="1" x14ac:dyDescent="0.3">
      <c r="A20" s="191" t="s">
        <v>333</v>
      </c>
      <c r="B20" s="198" t="s">
        <v>334</v>
      </c>
      <c r="C20" s="193">
        <f t="shared" si="8"/>
        <v>334475.94699999999</v>
      </c>
      <c r="D20" s="193">
        <v>18299.947</v>
      </c>
      <c r="E20" s="193">
        <f t="shared" si="9"/>
        <v>316176</v>
      </c>
      <c r="F20" s="193">
        <f>306519+3987</f>
        <v>310506</v>
      </c>
      <c r="G20" s="193"/>
      <c r="H20" s="193">
        <v>5670</v>
      </c>
      <c r="I20" s="193"/>
      <c r="J20" s="193"/>
      <c r="K20" s="193">
        <f t="shared" si="6"/>
        <v>0</v>
      </c>
      <c r="L20" s="193"/>
      <c r="M20" s="193"/>
      <c r="N20" s="193">
        <f t="shared" si="10"/>
        <v>364074.18507499999</v>
      </c>
      <c r="O20" s="193">
        <v>16120.534228</v>
      </c>
      <c r="P20" s="194">
        <f t="shared" si="11"/>
        <v>347953.65084700001</v>
      </c>
      <c r="Q20" s="193">
        <v>333881.65084700001</v>
      </c>
      <c r="R20" s="193">
        <v>14072</v>
      </c>
      <c r="S20" s="193"/>
      <c r="T20" s="193"/>
      <c r="U20" s="193">
        <f t="shared" si="7"/>
        <v>0</v>
      </c>
      <c r="V20" s="193"/>
      <c r="W20" s="193"/>
      <c r="X20" s="193"/>
      <c r="Y20" s="193"/>
      <c r="Z20" s="193"/>
      <c r="AA20" s="193"/>
      <c r="AB20" s="195">
        <f t="shared" si="3"/>
        <v>108.84913798450206</v>
      </c>
      <c r="AC20" s="195">
        <f>O20/D20%</f>
        <v>88.090606098476684</v>
      </c>
      <c r="AD20" s="195">
        <f t="shared" si="4"/>
        <v>110.05062080834725</v>
      </c>
      <c r="AE20" s="195"/>
    </row>
    <row r="21" spans="1:31" s="155" customFormat="1" ht="24.75" customHeight="1" x14ac:dyDescent="0.3">
      <c r="A21" s="196" t="s">
        <v>335</v>
      </c>
      <c r="B21" s="198" t="s">
        <v>336</v>
      </c>
      <c r="C21" s="193">
        <f t="shared" si="8"/>
        <v>55756</v>
      </c>
      <c r="D21" s="193">
        <v>15060</v>
      </c>
      <c r="E21" s="193">
        <f t="shared" si="9"/>
        <v>40696</v>
      </c>
      <c r="F21" s="193">
        <v>39207</v>
      </c>
      <c r="G21" s="193"/>
      <c r="H21" s="193">
        <f>38+1451</f>
        <v>1489</v>
      </c>
      <c r="I21" s="193"/>
      <c r="J21" s="193"/>
      <c r="K21" s="193">
        <f t="shared" si="6"/>
        <v>0</v>
      </c>
      <c r="L21" s="193"/>
      <c r="M21" s="193"/>
      <c r="N21" s="193">
        <f t="shared" si="10"/>
        <v>65792.659397999989</v>
      </c>
      <c r="O21" s="193">
        <v>23960.145949999998</v>
      </c>
      <c r="P21" s="194">
        <f t="shared" si="11"/>
        <v>41832.513447999998</v>
      </c>
      <c r="Q21" s="193">
        <v>41832.513447999998</v>
      </c>
      <c r="R21" s="193"/>
      <c r="S21" s="193"/>
      <c r="T21" s="193"/>
      <c r="U21" s="193">
        <f t="shared" si="7"/>
        <v>0</v>
      </c>
      <c r="V21" s="193"/>
      <c r="W21" s="193"/>
      <c r="X21" s="193"/>
      <c r="Y21" s="193"/>
      <c r="Z21" s="193"/>
      <c r="AA21" s="193"/>
      <c r="AB21" s="195">
        <f t="shared" si="3"/>
        <v>118.00103916708515</v>
      </c>
      <c r="AC21" s="195">
        <f>O21/D21%</f>
        <v>159.09791467463478</v>
      </c>
      <c r="AD21" s="195">
        <f t="shared" si="4"/>
        <v>102.79269080007863</v>
      </c>
      <c r="AE21" s="195"/>
    </row>
    <row r="22" spans="1:31" s="155" customFormat="1" ht="24.75" customHeight="1" x14ac:dyDescent="0.3">
      <c r="A22" s="191" t="s">
        <v>337</v>
      </c>
      <c r="B22" s="198" t="s">
        <v>338</v>
      </c>
      <c r="C22" s="193">
        <f t="shared" si="8"/>
        <v>216440</v>
      </c>
      <c r="D22" s="193"/>
      <c r="E22" s="193">
        <f t="shared" si="9"/>
        <v>215399</v>
      </c>
      <c r="F22" s="193">
        <v>211583</v>
      </c>
      <c r="G22" s="193"/>
      <c r="H22" s="193">
        <f>150+940+420+170+90+200+605+306+935</f>
        <v>3816</v>
      </c>
      <c r="I22" s="193"/>
      <c r="J22" s="193"/>
      <c r="K22" s="193">
        <f t="shared" si="6"/>
        <v>1041</v>
      </c>
      <c r="L22" s="193"/>
      <c r="M22" s="193">
        <v>1041</v>
      </c>
      <c r="N22" s="193">
        <f t="shared" si="10"/>
        <v>59967.881847999997</v>
      </c>
      <c r="O22" s="193"/>
      <c r="P22" s="194">
        <f t="shared" si="11"/>
        <v>59305.349996999998</v>
      </c>
      <c r="Q22" s="193">
        <f>59967.881848-662.531851</f>
        <v>59305.349996999998</v>
      </c>
      <c r="R22" s="193"/>
      <c r="S22" s="193"/>
      <c r="T22" s="193"/>
      <c r="U22" s="193">
        <f t="shared" si="7"/>
        <v>662.53185099999996</v>
      </c>
      <c r="V22" s="193"/>
      <c r="W22" s="193">
        <f>(94893000+293510851+274128000)/1000000</f>
        <v>662.53185099999996</v>
      </c>
      <c r="X22" s="193"/>
      <c r="Y22" s="193"/>
      <c r="Z22" s="193"/>
      <c r="AA22" s="193"/>
      <c r="AB22" s="195">
        <f t="shared" si="3"/>
        <v>27.706469159120307</v>
      </c>
      <c r="AC22" s="195"/>
      <c r="AD22" s="195">
        <f t="shared" si="4"/>
        <v>27.532787987409414</v>
      </c>
      <c r="AE22" s="195">
        <f>U22/K22%</f>
        <v>63.643789721421705</v>
      </c>
    </row>
    <row r="23" spans="1:31" s="155" customFormat="1" ht="24.75" customHeight="1" x14ac:dyDescent="0.3">
      <c r="A23" s="196" t="s">
        <v>339</v>
      </c>
      <c r="B23" s="198" t="s">
        <v>340</v>
      </c>
      <c r="C23" s="193">
        <f t="shared" si="8"/>
        <v>8692</v>
      </c>
      <c r="D23" s="193"/>
      <c r="E23" s="193">
        <f t="shared" si="9"/>
        <v>8692</v>
      </c>
      <c r="F23" s="193">
        <v>8504</v>
      </c>
      <c r="G23" s="193"/>
      <c r="H23" s="193">
        <f>150+38</f>
        <v>188</v>
      </c>
      <c r="I23" s="193"/>
      <c r="J23" s="193"/>
      <c r="K23" s="193">
        <f t="shared" si="6"/>
        <v>0</v>
      </c>
      <c r="L23" s="193"/>
      <c r="M23" s="193"/>
      <c r="N23" s="193">
        <f t="shared" si="10"/>
        <v>7939.5078000000003</v>
      </c>
      <c r="O23" s="193"/>
      <c r="P23" s="194">
        <f t="shared" si="11"/>
        <v>7939.5078000000003</v>
      </c>
      <c r="Q23" s="193">
        <v>7939.5078000000003</v>
      </c>
      <c r="R23" s="193"/>
      <c r="S23" s="193"/>
      <c r="T23" s="193"/>
      <c r="U23" s="193">
        <f t="shared" si="7"/>
        <v>0</v>
      </c>
      <c r="V23" s="193"/>
      <c r="W23" s="193"/>
      <c r="X23" s="193"/>
      <c r="Y23" s="193"/>
      <c r="Z23" s="193"/>
      <c r="AA23" s="193"/>
      <c r="AB23" s="195">
        <f t="shared" si="3"/>
        <v>91.342703635526917</v>
      </c>
      <c r="AC23" s="195"/>
      <c r="AD23" s="195">
        <f t="shared" si="4"/>
        <v>91.342703635526917</v>
      </c>
      <c r="AE23" s="195"/>
    </row>
    <row r="24" spans="1:31" s="155" customFormat="1" ht="34.5" customHeight="1" x14ac:dyDescent="0.3">
      <c r="A24" s="191" t="s">
        <v>341</v>
      </c>
      <c r="B24" s="198" t="s">
        <v>342</v>
      </c>
      <c r="C24" s="193">
        <f t="shared" si="8"/>
        <v>66679</v>
      </c>
      <c r="D24" s="193"/>
      <c r="E24" s="193">
        <f t="shared" si="9"/>
        <v>66679</v>
      </c>
      <c r="F24" s="193">
        <v>66679</v>
      </c>
      <c r="G24" s="193"/>
      <c r="H24" s="193"/>
      <c r="I24" s="193"/>
      <c r="J24" s="193"/>
      <c r="K24" s="193">
        <f t="shared" si="6"/>
        <v>0</v>
      </c>
      <c r="L24" s="193"/>
      <c r="M24" s="193"/>
      <c r="N24" s="193">
        <f t="shared" si="10"/>
        <v>82206.758376000013</v>
      </c>
      <c r="O24" s="193"/>
      <c r="P24" s="194">
        <f t="shared" si="11"/>
        <v>82206.758376000013</v>
      </c>
      <c r="Q24" s="193">
        <v>11165.839599999999</v>
      </c>
      <c r="R24" s="193">
        <v>71040.918776000006</v>
      </c>
      <c r="S24" s="193"/>
      <c r="T24" s="193"/>
      <c r="U24" s="193">
        <f t="shared" si="7"/>
        <v>0</v>
      </c>
      <c r="V24" s="193"/>
      <c r="W24" s="193"/>
      <c r="X24" s="193"/>
      <c r="Y24" s="193"/>
      <c r="Z24" s="193"/>
      <c r="AA24" s="193"/>
      <c r="AB24" s="195">
        <f t="shared" si="3"/>
        <v>123.28732940805953</v>
      </c>
      <c r="AC24" s="195"/>
      <c r="AD24" s="195">
        <f t="shared" si="4"/>
        <v>123.28732940805953</v>
      </c>
      <c r="AE24" s="195"/>
    </row>
    <row r="25" spans="1:31" s="155" customFormat="1" ht="24.75" customHeight="1" x14ac:dyDescent="0.3">
      <c r="A25" s="196" t="s">
        <v>343</v>
      </c>
      <c r="B25" s="198" t="s">
        <v>344</v>
      </c>
      <c r="C25" s="193">
        <f t="shared" si="8"/>
        <v>29105</v>
      </c>
      <c r="D25" s="193">
        <v>10000</v>
      </c>
      <c r="E25" s="193">
        <f t="shared" si="9"/>
        <v>19105</v>
      </c>
      <c r="F25" s="193">
        <v>19105</v>
      </c>
      <c r="G25" s="193"/>
      <c r="H25" s="193"/>
      <c r="I25" s="193"/>
      <c r="J25" s="193"/>
      <c r="K25" s="193">
        <f t="shared" si="6"/>
        <v>0</v>
      </c>
      <c r="L25" s="193"/>
      <c r="M25" s="193"/>
      <c r="N25" s="193">
        <f t="shared" si="10"/>
        <v>19298.861631</v>
      </c>
      <c r="O25" s="193">
        <v>4426.9546970000001</v>
      </c>
      <c r="P25" s="194">
        <f t="shared" si="11"/>
        <v>14871.906934000001</v>
      </c>
      <c r="Q25" s="193">
        <v>14471.906934000001</v>
      </c>
      <c r="R25" s="193">
        <v>400</v>
      </c>
      <c r="S25" s="193"/>
      <c r="T25" s="193"/>
      <c r="U25" s="193">
        <f t="shared" si="7"/>
        <v>0</v>
      </c>
      <c r="V25" s="193"/>
      <c r="W25" s="193"/>
      <c r="X25" s="193"/>
      <c r="Y25" s="193"/>
      <c r="Z25" s="193"/>
      <c r="AA25" s="193"/>
      <c r="AB25" s="195">
        <f t="shared" si="3"/>
        <v>66.307719055145157</v>
      </c>
      <c r="AC25" s="195">
        <f>O25/D25%</f>
        <v>44.26954697</v>
      </c>
      <c r="AD25" s="195">
        <f t="shared" si="4"/>
        <v>77.84300933786966</v>
      </c>
      <c r="AE25" s="195"/>
    </row>
    <row r="26" spans="1:31" s="155" customFormat="1" ht="24.75" customHeight="1" x14ac:dyDescent="0.3">
      <c r="A26" s="191" t="s">
        <v>345</v>
      </c>
      <c r="B26" s="198" t="s">
        <v>346</v>
      </c>
      <c r="C26" s="193">
        <f t="shared" si="8"/>
        <v>11109</v>
      </c>
      <c r="D26" s="193"/>
      <c r="E26" s="193">
        <f t="shared" si="9"/>
        <v>10609</v>
      </c>
      <c r="F26" s="193">
        <v>10483</v>
      </c>
      <c r="G26" s="193"/>
      <c r="H26" s="193">
        <v>126</v>
      </c>
      <c r="I26" s="193"/>
      <c r="J26" s="193"/>
      <c r="K26" s="193">
        <f t="shared" si="6"/>
        <v>500</v>
      </c>
      <c r="L26" s="193"/>
      <c r="M26" s="193">
        <v>500</v>
      </c>
      <c r="N26" s="193">
        <f t="shared" si="10"/>
        <v>10815.034</v>
      </c>
      <c r="O26" s="193"/>
      <c r="P26" s="194">
        <f t="shared" si="11"/>
        <v>10315.034</v>
      </c>
      <c r="Q26" s="193">
        <f>10815.034-500</f>
        <v>10315.034</v>
      </c>
      <c r="R26" s="193"/>
      <c r="S26" s="193"/>
      <c r="T26" s="193"/>
      <c r="U26" s="193">
        <f t="shared" si="7"/>
        <v>500</v>
      </c>
      <c r="V26" s="193"/>
      <c r="W26" s="193">
        <v>500</v>
      </c>
      <c r="X26" s="193"/>
      <c r="Y26" s="193"/>
      <c r="Z26" s="193"/>
      <c r="AA26" s="193"/>
      <c r="AB26" s="195">
        <f t="shared" si="3"/>
        <v>97.353803222612285</v>
      </c>
      <c r="AC26" s="195"/>
      <c r="AD26" s="195">
        <f t="shared" si="4"/>
        <v>97.229088509755854</v>
      </c>
      <c r="AE26" s="195">
        <f>U26/K26%</f>
        <v>100</v>
      </c>
    </row>
    <row r="27" spans="1:31" s="155" customFormat="1" ht="24.75" customHeight="1" x14ac:dyDescent="0.3">
      <c r="A27" s="196" t="s">
        <v>347</v>
      </c>
      <c r="B27" s="198" t="s">
        <v>348</v>
      </c>
      <c r="C27" s="193">
        <f t="shared" si="8"/>
        <v>8469</v>
      </c>
      <c r="D27" s="193"/>
      <c r="E27" s="193">
        <f t="shared" si="9"/>
        <v>8155</v>
      </c>
      <c r="F27" s="193">
        <v>8117</v>
      </c>
      <c r="G27" s="193"/>
      <c r="H27" s="193">
        <v>38</v>
      </c>
      <c r="I27" s="193"/>
      <c r="J27" s="193"/>
      <c r="K27" s="193">
        <f t="shared" si="6"/>
        <v>314</v>
      </c>
      <c r="L27" s="193"/>
      <c r="M27" s="193">
        <v>314</v>
      </c>
      <c r="N27" s="193">
        <f t="shared" si="10"/>
        <v>7243.653491</v>
      </c>
      <c r="O27" s="193"/>
      <c r="P27" s="194">
        <f t="shared" si="11"/>
        <v>6967.0355909999998</v>
      </c>
      <c r="Q27" s="193">
        <f>7243.653491-276.6179</f>
        <v>6967.0355909999998</v>
      </c>
      <c r="R27" s="193"/>
      <c r="S27" s="193"/>
      <c r="T27" s="193"/>
      <c r="U27" s="193">
        <f t="shared" si="7"/>
        <v>276.61790000000002</v>
      </c>
      <c r="V27" s="193"/>
      <c r="W27" s="193">
        <v>276.61790000000002</v>
      </c>
      <c r="X27" s="193"/>
      <c r="Y27" s="193"/>
      <c r="Z27" s="193"/>
      <c r="AA27" s="193"/>
      <c r="AB27" s="195">
        <f t="shared" si="3"/>
        <v>85.531390848978631</v>
      </c>
      <c r="AC27" s="195"/>
      <c r="AD27" s="195">
        <f t="shared" si="4"/>
        <v>85.432686584917235</v>
      </c>
      <c r="AE27" s="195">
        <f>U27/K27%</f>
        <v>88.094872611464965</v>
      </c>
    </row>
    <row r="28" spans="1:31" s="155" customFormat="1" ht="24.75" customHeight="1" x14ac:dyDescent="0.3">
      <c r="A28" s="191" t="s">
        <v>349</v>
      </c>
      <c r="B28" s="198" t="s">
        <v>350</v>
      </c>
      <c r="C28" s="193">
        <f t="shared" si="8"/>
        <v>134538.71400000001</v>
      </c>
      <c r="D28" s="193">
        <v>117969.71400000001</v>
      </c>
      <c r="E28" s="193">
        <f t="shared" si="9"/>
        <v>16569</v>
      </c>
      <c r="F28" s="193">
        <v>16569</v>
      </c>
      <c r="G28" s="193"/>
      <c r="H28" s="193"/>
      <c r="I28" s="193"/>
      <c r="J28" s="193"/>
      <c r="K28" s="193">
        <f t="shared" si="6"/>
        <v>0</v>
      </c>
      <c r="L28" s="193"/>
      <c r="M28" s="193"/>
      <c r="N28" s="193">
        <f t="shared" si="10"/>
        <v>149102.15895499999</v>
      </c>
      <c r="O28" s="193">
        <v>131684.06603399999</v>
      </c>
      <c r="P28" s="194">
        <f t="shared" si="11"/>
        <v>17418.092921000003</v>
      </c>
      <c r="Q28" s="193">
        <f>9734.275448+1466.521473+6217.296</f>
        <v>17418.092921000003</v>
      </c>
      <c r="R28" s="193"/>
      <c r="S28" s="193"/>
      <c r="T28" s="193"/>
      <c r="U28" s="193">
        <f t="shared" si="7"/>
        <v>0</v>
      </c>
      <c r="V28" s="193"/>
      <c r="W28" s="193"/>
      <c r="X28" s="193"/>
      <c r="Y28" s="193"/>
      <c r="Z28" s="193"/>
      <c r="AA28" s="193"/>
      <c r="AB28" s="195">
        <f t="shared" si="3"/>
        <v>110.82472436521132</v>
      </c>
      <c r="AC28" s="195">
        <f>O28/D28%</f>
        <v>111.62531599762968</v>
      </c>
      <c r="AD28" s="195">
        <f t="shared" si="4"/>
        <v>105.12458760939106</v>
      </c>
      <c r="AE28" s="195"/>
    </row>
    <row r="29" spans="1:31" s="155" customFormat="1" ht="24.75" customHeight="1" x14ac:dyDescent="0.3">
      <c r="A29" s="196" t="s">
        <v>351</v>
      </c>
      <c r="B29" s="198" t="s">
        <v>352</v>
      </c>
      <c r="C29" s="193">
        <f t="shared" si="8"/>
        <v>17130</v>
      </c>
      <c r="D29" s="193"/>
      <c r="E29" s="193">
        <f t="shared" si="9"/>
        <v>17130</v>
      </c>
      <c r="F29" s="193">
        <v>14372</v>
      </c>
      <c r="G29" s="193"/>
      <c r="H29" s="193">
        <f>958+1800</f>
        <v>2758</v>
      </c>
      <c r="I29" s="193"/>
      <c r="J29" s="193"/>
      <c r="K29" s="193">
        <f t="shared" si="6"/>
        <v>0</v>
      </c>
      <c r="L29" s="193"/>
      <c r="M29" s="193"/>
      <c r="N29" s="193">
        <f t="shared" si="10"/>
        <v>19969.91302</v>
      </c>
      <c r="O29" s="193"/>
      <c r="P29" s="194">
        <f t="shared" si="11"/>
        <v>19969.91302</v>
      </c>
      <c r="Q29" s="194">
        <v>19969.91302</v>
      </c>
      <c r="R29" s="193"/>
      <c r="S29" s="193"/>
      <c r="T29" s="193"/>
      <c r="U29" s="193">
        <f t="shared" si="7"/>
        <v>0</v>
      </c>
      <c r="V29" s="193"/>
      <c r="W29" s="193"/>
      <c r="X29" s="193"/>
      <c r="Y29" s="193"/>
      <c r="Z29" s="193"/>
      <c r="AA29" s="193"/>
      <c r="AB29" s="195">
        <f t="shared" si="3"/>
        <v>116.57859322825452</v>
      </c>
      <c r="AC29" s="195"/>
      <c r="AD29" s="195">
        <f t="shared" si="4"/>
        <v>116.57859322825452</v>
      </c>
      <c r="AE29" s="195"/>
    </row>
    <row r="30" spans="1:31" s="155" customFormat="1" ht="24.75" customHeight="1" x14ac:dyDescent="0.3">
      <c r="A30" s="191" t="s">
        <v>353</v>
      </c>
      <c r="B30" s="198" t="s">
        <v>354</v>
      </c>
      <c r="C30" s="193">
        <f t="shared" si="8"/>
        <v>24681</v>
      </c>
      <c r="D30" s="193">
        <v>9080</v>
      </c>
      <c r="E30" s="193">
        <f t="shared" si="9"/>
        <v>15601</v>
      </c>
      <c r="F30" s="193">
        <v>15556</v>
      </c>
      <c r="G30" s="193"/>
      <c r="H30" s="193">
        <v>45</v>
      </c>
      <c r="I30" s="193"/>
      <c r="J30" s="193"/>
      <c r="K30" s="193">
        <f t="shared" si="6"/>
        <v>0</v>
      </c>
      <c r="L30" s="193"/>
      <c r="M30" s="193"/>
      <c r="N30" s="193">
        <f t="shared" si="10"/>
        <v>23979.656999999999</v>
      </c>
      <c r="O30" s="193">
        <v>8217.8590000000004</v>
      </c>
      <c r="P30" s="194">
        <f t="shared" si="11"/>
        <v>15761.798000000001</v>
      </c>
      <c r="Q30" s="193">
        <v>15761.798000000001</v>
      </c>
      <c r="R30" s="193"/>
      <c r="S30" s="193"/>
      <c r="T30" s="193"/>
      <c r="U30" s="193">
        <f t="shared" si="7"/>
        <v>0</v>
      </c>
      <c r="V30" s="193"/>
      <c r="W30" s="193"/>
      <c r="X30" s="193"/>
      <c r="Y30" s="193"/>
      <c r="Z30" s="193"/>
      <c r="AA30" s="193"/>
      <c r="AB30" s="195">
        <f t="shared" si="3"/>
        <v>97.158368785705605</v>
      </c>
      <c r="AC30" s="195">
        <f>O30/D30%</f>
        <v>90.505055066079308</v>
      </c>
      <c r="AD30" s="195">
        <f t="shared" si="4"/>
        <v>101.03069034036281</v>
      </c>
      <c r="AE30" s="195"/>
    </row>
    <row r="31" spans="1:31" s="155" customFormat="1" ht="24.75" customHeight="1" x14ac:dyDescent="0.3">
      <c r="A31" s="196" t="s">
        <v>355</v>
      </c>
      <c r="B31" s="198" t="s">
        <v>137</v>
      </c>
      <c r="C31" s="193">
        <f t="shared" si="8"/>
        <v>139774</v>
      </c>
      <c r="D31" s="193">
        <v>126755</v>
      </c>
      <c r="E31" s="193">
        <f t="shared" si="9"/>
        <v>9602</v>
      </c>
      <c r="F31" s="193">
        <v>6838</v>
      </c>
      <c r="G31" s="193"/>
      <c r="H31" s="193">
        <f>330+280+542+1612</f>
        <v>2764</v>
      </c>
      <c r="I31" s="193"/>
      <c r="J31" s="193"/>
      <c r="K31" s="193">
        <f t="shared" si="6"/>
        <v>3417</v>
      </c>
      <c r="L31" s="193"/>
      <c r="M31" s="193">
        <v>3417</v>
      </c>
      <c r="N31" s="193">
        <f t="shared" si="10"/>
        <v>48046.4689</v>
      </c>
      <c r="O31" s="193">
        <v>34801.029900000001</v>
      </c>
      <c r="P31" s="194">
        <f t="shared" si="11"/>
        <v>9828.0390000000007</v>
      </c>
      <c r="Q31" s="193">
        <f>13245.039-3417</f>
        <v>9828.0390000000007</v>
      </c>
      <c r="R31" s="193"/>
      <c r="S31" s="193"/>
      <c r="T31" s="193"/>
      <c r="U31" s="193">
        <f t="shared" si="7"/>
        <v>3417.4</v>
      </c>
      <c r="V31" s="193"/>
      <c r="W31" s="193">
        <f>3417.4</f>
        <v>3417.4</v>
      </c>
      <c r="X31" s="193"/>
      <c r="Y31" s="193"/>
      <c r="Z31" s="193"/>
      <c r="AA31" s="193"/>
      <c r="AB31" s="195">
        <f t="shared" si="3"/>
        <v>34.374396454276187</v>
      </c>
      <c r="AC31" s="195">
        <f>O31/D31%</f>
        <v>27.455350794840442</v>
      </c>
      <c r="AD31" s="195">
        <f t="shared" si="4"/>
        <v>102.3540824828161</v>
      </c>
      <c r="AE31" s="195">
        <f>U31/K31%</f>
        <v>100.01170617500732</v>
      </c>
    </row>
    <row r="32" spans="1:31" s="155" customFormat="1" ht="24.75" customHeight="1" x14ac:dyDescent="0.3">
      <c r="A32" s="191" t="s">
        <v>356</v>
      </c>
      <c r="B32" s="198" t="s">
        <v>357</v>
      </c>
      <c r="C32" s="193">
        <f t="shared" si="8"/>
        <v>8332</v>
      </c>
      <c r="D32" s="193"/>
      <c r="E32" s="193">
        <f t="shared" si="9"/>
        <v>8332</v>
      </c>
      <c r="F32" s="193">
        <v>8332</v>
      </c>
      <c r="G32" s="193"/>
      <c r="H32" s="193"/>
      <c r="I32" s="193"/>
      <c r="J32" s="193"/>
      <c r="K32" s="193">
        <f t="shared" si="6"/>
        <v>0</v>
      </c>
      <c r="L32" s="193"/>
      <c r="M32" s="193"/>
      <c r="N32" s="193">
        <f t="shared" si="10"/>
        <v>55017.512741999999</v>
      </c>
      <c r="O32" s="193">
        <v>2066.4539999999997</v>
      </c>
      <c r="P32" s="194">
        <f t="shared" si="11"/>
        <v>52951.058742000001</v>
      </c>
      <c r="Q32" s="193">
        <v>52951.058742000001</v>
      </c>
      <c r="R32" s="193"/>
      <c r="S32" s="193"/>
      <c r="T32" s="193"/>
      <c r="U32" s="193">
        <f t="shared" si="7"/>
        <v>0</v>
      </c>
      <c r="V32" s="193"/>
      <c r="W32" s="193"/>
      <c r="X32" s="193"/>
      <c r="Y32" s="193"/>
      <c r="Z32" s="193"/>
      <c r="AA32" s="193"/>
      <c r="AB32" s="195">
        <f t="shared" si="3"/>
        <v>660.31580343254927</v>
      </c>
      <c r="AC32" s="195"/>
      <c r="AD32" s="195">
        <f t="shared" si="4"/>
        <v>635.51438720595297</v>
      </c>
      <c r="AE32" s="195"/>
    </row>
    <row r="33" spans="1:31" s="155" customFormat="1" ht="24.75" customHeight="1" x14ac:dyDescent="0.3">
      <c r="A33" s="196" t="s">
        <v>358</v>
      </c>
      <c r="B33" s="198" t="s">
        <v>359</v>
      </c>
      <c r="C33" s="193">
        <f t="shared" si="8"/>
        <v>6939</v>
      </c>
      <c r="D33" s="193"/>
      <c r="E33" s="193">
        <f t="shared" si="9"/>
        <v>6939</v>
      </c>
      <c r="F33" s="193">
        <v>6939</v>
      </c>
      <c r="G33" s="193"/>
      <c r="H33" s="193"/>
      <c r="I33" s="193"/>
      <c r="J33" s="193"/>
      <c r="K33" s="193">
        <f t="shared" si="6"/>
        <v>0</v>
      </c>
      <c r="L33" s="193"/>
      <c r="M33" s="193"/>
      <c r="N33" s="193">
        <f t="shared" si="10"/>
        <v>7730.8980979999997</v>
      </c>
      <c r="O33" s="193"/>
      <c r="P33" s="194">
        <f t="shared" si="11"/>
        <v>7730.8980979999997</v>
      </c>
      <c r="Q33" s="193">
        <v>7730.8980979999997</v>
      </c>
      <c r="R33" s="193"/>
      <c r="S33" s="193"/>
      <c r="T33" s="193"/>
      <c r="U33" s="193">
        <f t="shared" si="7"/>
        <v>0</v>
      </c>
      <c r="V33" s="193"/>
      <c r="W33" s="193"/>
      <c r="X33" s="193"/>
      <c r="Y33" s="193"/>
      <c r="Z33" s="193"/>
      <c r="AA33" s="193"/>
      <c r="AB33" s="195">
        <f t="shared" si="3"/>
        <v>111.41227983859345</v>
      </c>
      <c r="AC33" s="195"/>
      <c r="AD33" s="195">
        <f t="shared" si="4"/>
        <v>111.41227983859345</v>
      </c>
      <c r="AE33" s="195"/>
    </row>
    <row r="34" spans="1:31" s="155" customFormat="1" ht="24.75" customHeight="1" x14ac:dyDescent="0.3">
      <c r="A34" s="191" t="s">
        <v>360</v>
      </c>
      <c r="B34" s="198" t="s">
        <v>361</v>
      </c>
      <c r="C34" s="193">
        <f t="shared" si="8"/>
        <v>12980</v>
      </c>
      <c r="D34" s="193"/>
      <c r="E34" s="193">
        <f t="shared" si="9"/>
        <v>12980</v>
      </c>
      <c r="F34" s="193">
        <v>12980</v>
      </c>
      <c r="G34" s="193"/>
      <c r="H34" s="193"/>
      <c r="I34" s="193"/>
      <c r="J34" s="193"/>
      <c r="K34" s="193">
        <f t="shared" si="6"/>
        <v>0</v>
      </c>
      <c r="L34" s="193"/>
      <c r="M34" s="193"/>
      <c r="N34" s="193">
        <f t="shared" si="10"/>
        <v>15486.457733000001</v>
      </c>
      <c r="O34" s="193">
        <v>3196.7249999999999</v>
      </c>
      <c r="P34" s="194">
        <f t="shared" si="11"/>
        <v>12289.732733000001</v>
      </c>
      <c r="Q34" s="193">
        <f>12289.732733</f>
        <v>12289.732733000001</v>
      </c>
      <c r="R34" s="193"/>
      <c r="S34" s="193"/>
      <c r="T34" s="193"/>
      <c r="U34" s="193">
        <f t="shared" si="7"/>
        <v>0</v>
      </c>
      <c r="V34" s="193"/>
      <c r="W34" s="193"/>
      <c r="X34" s="193"/>
      <c r="Y34" s="193"/>
      <c r="Z34" s="193"/>
      <c r="AA34" s="193"/>
      <c r="AB34" s="195">
        <f t="shared" si="3"/>
        <v>119.31015202619415</v>
      </c>
      <c r="AC34" s="195"/>
      <c r="AD34" s="195">
        <f t="shared" si="4"/>
        <v>94.68207036209553</v>
      </c>
      <c r="AE34" s="195"/>
    </row>
    <row r="35" spans="1:31" s="155" customFormat="1" ht="24.75" customHeight="1" x14ac:dyDescent="0.3">
      <c r="A35" s="196" t="s">
        <v>362</v>
      </c>
      <c r="B35" s="198" t="s">
        <v>363</v>
      </c>
      <c r="C35" s="193">
        <f t="shared" si="8"/>
        <v>300</v>
      </c>
      <c r="D35" s="193"/>
      <c r="E35" s="193">
        <f t="shared" si="9"/>
        <v>300</v>
      </c>
      <c r="F35" s="193">
        <v>300</v>
      </c>
      <c r="G35" s="193"/>
      <c r="H35" s="193"/>
      <c r="I35" s="193"/>
      <c r="J35" s="193"/>
      <c r="K35" s="193">
        <f t="shared" si="6"/>
        <v>0</v>
      </c>
      <c r="L35" s="193"/>
      <c r="M35" s="193"/>
      <c r="N35" s="193">
        <f t="shared" si="10"/>
        <v>275</v>
      </c>
      <c r="O35" s="193"/>
      <c r="P35" s="194">
        <f t="shared" si="11"/>
        <v>275</v>
      </c>
      <c r="Q35" s="193">
        <v>275</v>
      </c>
      <c r="R35" s="193"/>
      <c r="S35" s="193"/>
      <c r="T35" s="193"/>
      <c r="U35" s="193">
        <f t="shared" si="7"/>
        <v>0</v>
      </c>
      <c r="V35" s="193"/>
      <c r="W35" s="193"/>
      <c r="X35" s="193"/>
      <c r="Y35" s="193"/>
      <c r="Z35" s="193"/>
      <c r="AA35" s="193"/>
      <c r="AB35" s="195">
        <f t="shared" si="3"/>
        <v>91.666666666666671</v>
      </c>
      <c r="AC35" s="195"/>
      <c r="AD35" s="195">
        <f t="shared" si="4"/>
        <v>91.666666666666671</v>
      </c>
      <c r="AE35" s="195"/>
    </row>
    <row r="36" spans="1:31" s="155" customFormat="1" ht="24.75" customHeight="1" x14ac:dyDescent="0.3">
      <c r="A36" s="191" t="s">
        <v>364</v>
      </c>
      <c r="B36" s="198" t="s">
        <v>365</v>
      </c>
      <c r="C36" s="193">
        <f t="shared" si="8"/>
        <v>55096.955000000002</v>
      </c>
      <c r="D36" s="193">
        <v>43090.955000000002</v>
      </c>
      <c r="E36" s="193">
        <f t="shared" si="9"/>
        <v>12006</v>
      </c>
      <c r="F36" s="193">
        <v>12006</v>
      </c>
      <c r="G36" s="193"/>
      <c r="H36" s="193"/>
      <c r="I36" s="193"/>
      <c r="J36" s="193"/>
      <c r="K36" s="193">
        <f t="shared" si="6"/>
        <v>0</v>
      </c>
      <c r="L36" s="193"/>
      <c r="M36" s="193"/>
      <c r="N36" s="193">
        <f t="shared" si="10"/>
        <v>33215.872761999999</v>
      </c>
      <c r="O36" s="193">
        <v>20612.71357</v>
      </c>
      <c r="P36" s="194">
        <f t="shared" si="11"/>
        <v>12603.159191999999</v>
      </c>
      <c r="Q36" s="193">
        <v>12603.159191999999</v>
      </c>
      <c r="R36" s="193"/>
      <c r="S36" s="193"/>
      <c r="T36" s="193"/>
      <c r="U36" s="193"/>
      <c r="V36" s="193"/>
      <c r="W36" s="193"/>
      <c r="X36" s="193"/>
      <c r="Y36" s="193"/>
      <c r="Z36" s="193"/>
      <c r="AA36" s="193"/>
      <c r="AB36" s="195">
        <f t="shared" si="3"/>
        <v>60.28622228215697</v>
      </c>
      <c r="AC36" s="195">
        <f>O36/D36%</f>
        <v>47.835360274563421</v>
      </c>
      <c r="AD36" s="195">
        <f t="shared" si="4"/>
        <v>104.97383968015991</v>
      </c>
      <c r="AE36" s="195"/>
    </row>
    <row r="37" spans="1:31" s="155" customFormat="1" ht="24.75" customHeight="1" x14ac:dyDescent="0.3">
      <c r="A37" s="196" t="s">
        <v>366</v>
      </c>
      <c r="B37" s="198" t="s">
        <v>367</v>
      </c>
      <c r="C37" s="193">
        <f t="shared" si="8"/>
        <v>9777</v>
      </c>
      <c r="D37" s="193"/>
      <c r="E37" s="193">
        <f t="shared" si="9"/>
        <v>9777</v>
      </c>
      <c r="F37" s="193">
        <v>9777</v>
      </c>
      <c r="G37" s="193"/>
      <c r="H37" s="193"/>
      <c r="I37" s="193"/>
      <c r="J37" s="193"/>
      <c r="K37" s="193">
        <f t="shared" si="6"/>
        <v>0</v>
      </c>
      <c r="L37" s="193"/>
      <c r="M37" s="193"/>
      <c r="N37" s="193">
        <f t="shared" si="10"/>
        <v>10383.138717</v>
      </c>
      <c r="O37" s="193"/>
      <c r="P37" s="194">
        <f t="shared" si="11"/>
        <v>10383.138717</v>
      </c>
      <c r="Q37" s="193">
        <v>10383.138717</v>
      </c>
      <c r="R37" s="193"/>
      <c r="S37" s="193"/>
      <c r="T37" s="193"/>
      <c r="U37" s="193">
        <f>V37+W37</f>
        <v>0</v>
      </c>
      <c r="V37" s="193"/>
      <c r="W37" s="193"/>
      <c r="X37" s="193"/>
      <c r="Y37" s="193"/>
      <c r="Z37" s="193"/>
      <c r="AA37" s="193"/>
      <c r="AB37" s="195">
        <f t="shared" si="3"/>
        <v>106.1996391224302</v>
      </c>
      <c r="AC37" s="195"/>
      <c r="AD37" s="195">
        <f t="shared" si="4"/>
        <v>106.1996391224302</v>
      </c>
      <c r="AE37" s="195"/>
    </row>
    <row r="38" spans="1:31" s="155" customFormat="1" ht="24.75" customHeight="1" x14ac:dyDescent="0.3">
      <c r="A38" s="191" t="s">
        <v>368</v>
      </c>
      <c r="B38" s="198" t="s">
        <v>369</v>
      </c>
      <c r="C38" s="193">
        <f t="shared" si="8"/>
        <v>24408.808000000001</v>
      </c>
      <c r="D38" s="193">
        <v>1654.808</v>
      </c>
      <c r="E38" s="193">
        <f t="shared" si="9"/>
        <v>22754</v>
      </c>
      <c r="F38" s="193">
        <v>22754</v>
      </c>
      <c r="G38" s="193"/>
      <c r="H38" s="193"/>
      <c r="I38" s="193"/>
      <c r="J38" s="193"/>
      <c r="K38" s="193">
        <f t="shared" si="6"/>
        <v>0</v>
      </c>
      <c r="L38" s="193"/>
      <c r="M38" s="193"/>
      <c r="N38" s="193">
        <f t="shared" si="10"/>
        <v>31240.717065000001</v>
      </c>
      <c r="O38" s="193">
        <v>8547.8487339999992</v>
      </c>
      <c r="P38" s="194">
        <f t="shared" si="11"/>
        <v>22692.868331000001</v>
      </c>
      <c r="Q38" s="193">
        <v>22692.868331000001</v>
      </c>
      <c r="R38" s="193"/>
      <c r="S38" s="193"/>
      <c r="T38" s="193"/>
      <c r="U38" s="193">
        <f>V38+W38</f>
        <v>0</v>
      </c>
      <c r="V38" s="193"/>
      <c r="W38" s="193"/>
      <c r="X38" s="193"/>
      <c r="Y38" s="193"/>
      <c r="Z38" s="193"/>
      <c r="AA38" s="193"/>
      <c r="AB38" s="195">
        <f t="shared" si="3"/>
        <v>127.98952355641454</v>
      </c>
      <c r="AC38" s="195">
        <f>O38/D38%</f>
        <v>516.54625394607717</v>
      </c>
      <c r="AD38" s="195">
        <f t="shared" si="4"/>
        <v>99.73133660455305</v>
      </c>
      <c r="AE38" s="195"/>
    </row>
    <row r="39" spans="1:31" s="155" customFormat="1" ht="24.75" customHeight="1" x14ac:dyDescent="0.3">
      <c r="A39" s="196" t="s">
        <v>370</v>
      </c>
      <c r="B39" s="198" t="s">
        <v>371</v>
      </c>
      <c r="C39" s="193">
        <f t="shared" si="8"/>
        <v>2631</v>
      </c>
      <c r="D39" s="193"/>
      <c r="E39" s="193">
        <f t="shared" si="9"/>
        <v>2631</v>
      </c>
      <c r="F39" s="193">
        <v>2631</v>
      </c>
      <c r="G39" s="193"/>
      <c r="H39" s="193"/>
      <c r="I39" s="193"/>
      <c r="J39" s="193"/>
      <c r="K39" s="193">
        <f t="shared" si="6"/>
        <v>0</v>
      </c>
      <c r="L39" s="193"/>
      <c r="M39" s="193"/>
      <c r="N39" s="193">
        <f t="shared" si="10"/>
        <v>2317.8087879999998</v>
      </c>
      <c r="O39" s="193"/>
      <c r="P39" s="194">
        <f t="shared" si="11"/>
        <v>2317.8087879999998</v>
      </c>
      <c r="Q39" s="193">
        <v>2317.8087879999998</v>
      </c>
      <c r="R39" s="193"/>
      <c r="S39" s="193"/>
      <c r="T39" s="193"/>
      <c r="U39" s="193">
        <f>V39+W39</f>
        <v>0</v>
      </c>
      <c r="V39" s="193"/>
      <c r="W39" s="193"/>
      <c r="X39" s="193"/>
      <c r="Y39" s="193"/>
      <c r="Z39" s="193"/>
      <c r="AA39" s="193"/>
      <c r="AB39" s="195">
        <f t="shared" si="3"/>
        <v>88.096115089319653</v>
      </c>
      <c r="AC39" s="195"/>
      <c r="AD39" s="195">
        <f t="shared" si="4"/>
        <v>88.096115089319653</v>
      </c>
      <c r="AE39" s="195"/>
    </row>
    <row r="40" spans="1:31" s="155" customFormat="1" ht="24.75" customHeight="1" x14ac:dyDescent="0.3">
      <c r="A40" s="191" t="s">
        <v>372</v>
      </c>
      <c r="B40" s="198" t="s">
        <v>373</v>
      </c>
      <c r="C40" s="193">
        <f t="shared" si="8"/>
        <v>4878</v>
      </c>
      <c r="D40" s="193"/>
      <c r="E40" s="193">
        <f t="shared" si="9"/>
        <v>4528</v>
      </c>
      <c r="F40" s="193">
        <v>4528</v>
      </c>
      <c r="G40" s="193"/>
      <c r="H40" s="193"/>
      <c r="I40" s="193"/>
      <c r="J40" s="193"/>
      <c r="K40" s="193">
        <f t="shared" si="6"/>
        <v>350</v>
      </c>
      <c r="L40" s="193"/>
      <c r="M40" s="193">
        <v>350</v>
      </c>
      <c r="N40" s="193">
        <f t="shared" si="10"/>
        <v>5406.0748880000001</v>
      </c>
      <c r="O40" s="193"/>
      <c r="P40" s="194">
        <f t="shared" si="11"/>
        <v>5115.426888</v>
      </c>
      <c r="Q40" s="193">
        <f>4406.074888-290.648</f>
        <v>4115.426888</v>
      </c>
      <c r="R40" s="193">
        <v>1000</v>
      </c>
      <c r="S40" s="193"/>
      <c r="T40" s="193"/>
      <c r="U40" s="193">
        <f t="shared" ref="U40:U89" si="12">V40+W40</f>
        <v>290.64800000000002</v>
      </c>
      <c r="V40" s="193"/>
      <c r="W40" s="193">
        <v>290.64800000000002</v>
      </c>
      <c r="X40" s="193"/>
      <c r="Y40" s="193"/>
      <c r="Z40" s="193"/>
      <c r="AA40" s="193"/>
      <c r="AB40" s="195">
        <f t="shared" si="3"/>
        <v>110.82564346043461</v>
      </c>
      <c r="AC40" s="195"/>
      <c r="AD40" s="195">
        <f t="shared" si="4"/>
        <v>112.97320865724382</v>
      </c>
      <c r="AE40" s="195">
        <f>U40/K40%</f>
        <v>83.042285714285725</v>
      </c>
    </row>
    <row r="41" spans="1:31" s="155" customFormat="1" ht="24.75" customHeight="1" x14ac:dyDescent="0.3">
      <c r="A41" s="196" t="s">
        <v>374</v>
      </c>
      <c r="B41" s="198" t="s">
        <v>375</v>
      </c>
      <c r="C41" s="193">
        <f t="shared" si="8"/>
        <v>7000</v>
      </c>
      <c r="D41" s="193"/>
      <c r="E41" s="193">
        <f t="shared" si="9"/>
        <v>6800</v>
      </c>
      <c r="F41" s="193">
        <v>6762</v>
      </c>
      <c r="G41" s="193"/>
      <c r="H41" s="193">
        <v>38</v>
      </c>
      <c r="I41" s="193"/>
      <c r="J41" s="193"/>
      <c r="K41" s="193">
        <f t="shared" si="6"/>
        <v>200</v>
      </c>
      <c r="L41" s="193"/>
      <c r="M41" s="193">
        <v>200</v>
      </c>
      <c r="N41" s="193">
        <f t="shared" si="10"/>
        <v>6719.3927089999997</v>
      </c>
      <c r="O41" s="193"/>
      <c r="P41" s="194">
        <f t="shared" si="11"/>
        <v>6519.4587089999995</v>
      </c>
      <c r="Q41" s="193">
        <f>6719.392709-199.934</f>
        <v>6519.4587089999995</v>
      </c>
      <c r="R41" s="193"/>
      <c r="S41" s="193"/>
      <c r="T41" s="193"/>
      <c r="U41" s="193">
        <f t="shared" si="12"/>
        <v>199.934</v>
      </c>
      <c r="V41" s="193"/>
      <c r="W41" s="193">
        <v>199.934</v>
      </c>
      <c r="X41" s="193"/>
      <c r="Y41" s="193"/>
      <c r="Z41" s="193"/>
      <c r="AA41" s="193"/>
      <c r="AB41" s="195">
        <f t="shared" si="3"/>
        <v>95.991324414285714</v>
      </c>
      <c r="AC41" s="195"/>
      <c r="AD41" s="195">
        <f t="shared" si="4"/>
        <v>95.874392779411764</v>
      </c>
      <c r="AE41" s="195">
        <f>U41/K41%</f>
        <v>99.966999999999999</v>
      </c>
    </row>
    <row r="42" spans="1:31" s="155" customFormat="1" ht="24.75" customHeight="1" x14ac:dyDescent="0.3">
      <c r="A42" s="191" t="s">
        <v>376</v>
      </c>
      <c r="B42" s="198" t="s">
        <v>377</v>
      </c>
      <c r="C42" s="193">
        <f t="shared" si="8"/>
        <v>6982</v>
      </c>
      <c r="D42" s="193"/>
      <c r="E42" s="193">
        <f t="shared" si="9"/>
        <v>6622</v>
      </c>
      <c r="F42" s="193">
        <v>6374</v>
      </c>
      <c r="G42" s="193"/>
      <c r="H42" s="193">
        <v>248</v>
      </c>
      <c r="I42" s="193"/>
      <c r="J42" s="193"/>
      <c r="K42" s="193">
        <f t="shared" si="6"/>
        <v>360</v>
      </c>
      <c r="L42" s="193"/>
      <c r="M42" s="193">
        <v>360</v>
      </c>
      <c r="N42" s="193">
        <f t="shared" si="10"/>
        <v>6225.0375770000001</v>
      </c>
      <c r="O42" s="193"/>
      <c r="P42" s="194">
        <f t="shared" si="11"/>
        <v>5869.7375769999999</v>
      </c>
      <c r="Q42" s="193">
        <f>6224.737577-355</f>
        <v>5869.7375769999999</v>
      </c>
      <c r="R42" s="193"/>
      <c r="S42" s="193"/>
      <c r="T42" s="193"/>
      <c r="U42" s="193">
        <f t="shared" si="12"/>
        <v>355.3</v>
      </c>
      <c r="V42" s="193"/>
      <c r="W42" s="193">
        <v>355.3</v>
      </c>
      <c r="X42" s="193"/>
      <c r="Y42" s="193"/>
      <c r="Z42" s="193"/>
      <c r="AA42" s="193"/>
      <c r="AB42" s="195">
        <f t="shared" si="3"/>
        <v>89.158372629619024</v>
      </c>
      <c r="AC42" s="195"/>
      <c r="AD42" s="195">
        <f t="shared" si="4"/>
        <v>88.639951328903649</v>
      </c>
      <c r="AE42" s="195">
        <f>U42/K42%</f>
        <v>98.694444444444443</v>
      </c>
    </row>
    <row r="43" spans="1:31" s="155" customFormat="1" ht="24.75" customHeight="1" x14ac:dyDescent="0.3">
      <c r="A43" s="196" t="s">
        <v>378</v>
      </c>
      <c r="B43" s="198" t="s">
        <v>380</v>
      </c>
      <c r="C43" s="193">
        <f t="shared" si="8"/>
        <v>684</v>
      </c>
      <c r="D43" s="193"/>
      <c r="E43" s="193">
        <f t="shared" si="9"/>
        <v>684</v>
      </c>
      <c r="F43" s="193">
        <v>684</v>
      </c>
      <c r="G43" s="193"/>
      <c r="H43" s="193"/>
      <c r="I43" s="193"/>
      <c r="J43" s="193"/>
      <c r="K43" s="193">
        <f t="shared" si="6"/>
        <v>0</v>
      </c>
      <c r="L43" s="193"/>
      <c r="M43" s="193"/>
      <c r="N43" s="193">
        <f t="shared" si="10"/>
        <v>651</v>
      </c>
      <c r="O43" s="193"/>
      <c r="P43" s="194">
        <f t="shared" si="11"/>
        <v>651</v>
      </c>
      <c r="Q43" s="193">
        <v>651</v>
      </c>
      <c r="R43" s="193"/>
      <c r="S43" s="193"/>
      <c r="T43" s="193"/>
      <c r="U43" s="193">
        <f t="shared" si="12"/>
        <v>0</v>
      </c>
      <c r="V43" s="193"/>
      <c r="W43" s="193"/>
      <c r="X43" s="193"/>
      <c r="Y43" s="193"/>
      <c r="Z43" s="193"/>
      <c r="AA43" s="193"/>
      <c r="AB43" s="195">
        <f t="shared" si="3"/>
        <v>95.175438596491233</v>
      </c>
      <c r="AC43" s="195"/>
      <c r="AD43" s="195">
        <f t="shared" si="4"/>
        <v>95.175438596491233</v>
      </c>
      <c r="AE43" s="195"/>
    </row>
    <row r="44" spans="1:31" s="155" customFormat="1" ht="33.75" customHeight="1" x14ac:dyDescent="0.3">
      <c r="A44" s="191" t="s">
        <v>379</v>
      </c>
      <c r="B44" s="198" t="s">
        <v>382</v>
      </c>
      <c r="C44" s="193">
        <f t="shared" si="8"/>
        <v>544</v>
      </c>
      <c r="D44" s="193"/>
      <c r="E44" s="193">
        <f t="shared" si="9"/>
        <v>544</v>
      </c>
      <c r="F44" s="193">
        <v>544</v>
      </c>
      <c r="G44" s="193"/>
      <c r="H44" s="193"/>
      <c r="I44" s="193"/>
      <c r="J44" s="193"/>
      <c r="K44" s="193">
        <f t="shared" si="6"/>
        <v>0</v>
      </c>
      <c r="L44" s="193"/>
      <c r="M44" s="193"/>
      <c r="N44" s="193">
        <f t="shared" si="10"/>
        <v>499</v>
      </c>
      <c r="O44" s="193"/>
      <c r="P44" s="194">
        <f t="shared" si="11"/>
        <v>499</v>
      </c>
      <c r="Q44" s="193">
        <v>499</v>
      </c>
      <c r="R44" s="193"/>
      <c r="S44" s="193"/>
      <c r="T44" s="193"/>
      <c r="U44" s="193">
        <f t="shared" si="12"/>
        <v>0</v>
      </c>
      <c r="V44" s="193"/>
      <c r="W44" s="193"/>
      <c r="X44" s="193"/>
      <c r="Y44" s="193"/>
      <c r="Z44" s="193"/>
      <c r="AA44" s="193"/>
      <c r="AB44" s="195">
        <f t="shared" si="3"/>
        <v>91.72794117647058</v>
      </c>
      <c r="AC44" s="195"/>
      <c r="AD44" s="195">
        <f t="shared" si="4"/>
        <v>91.72794117647058</v>
      </c>
      <c r="AE44" s="195"/>
    </row>
    <row r="45" spans="1:31" s="155" customFormat="1" ht="24.75" customHeight="1" x14ac:dyDescent="0.3">
      <c r="A45" s="196" t="s">
        <v>381</v>
      </c>
      <c r="B45" s="198" t="s">
        <v>384</v>
      </c>
      <c r="C45" s="193">
        <f t="shared" si="8"/>
        <v>420</v>
      </c>
      <c r="D45" s="193"/>
      <c r="E45" s="193">
        <f t="shared" si="9"/>
        <v>420</v>
      </c>
      <c r="F45" s="193">
        <v>420</v>
      </c>
      <c r="G45" s="193"/>
      <c r="H45" s="193"/>
      <c r="I45" s="193"/>
      <c r="J45" s="193"/>
      <c r="K45" s="193">
        <f t="shared" si="6"/>
        <v>0</v>
      </c>
      <c r="L45" s="193"/>
      <c r="M45" s="193"/>
      <c r="N45" s="193">
        <f t="shared" si="10"/>
        <v>387</v>
      </c>
      <c r="O45" s="193"/>
      <c r="P45" s="194">
        <f t="shared" si="11"/>
        <v>387</v>
      </c>
      <c r="Q45" s="193">
        <v>387</v>
      </c>
      <c r="R45" s="193"/>
      <c r="S45" s="193"/>
      <c r="T45" s="193"/>
      <c r="U45" s="193">
        <f t="shared" si="12"/>
        <v>0</v>
      </c>
      <c r="V45" s="193"/>
      <c r="W45" s="193"/>
      <c r="X45" s="193"/>
      <c r="Y45" s="193"/>
      <c r="Z45" s="193"/>
      <c r="AA45" s="193"/>
      <c r="AB45" s="195">
        <f t="shared" si="3"/>
        <v>92.142857142857139</v>
      </c>
      <c r="AC45" s="195"/>
      <c r="AD45" s="195">
        <f t="shared" si="4"/>
        <v>92.142857142857139</v>
      </c>
      <c r="AE45" s="195"/>
    </row>
    <row r="46" spans="1:31" s="155" customFormat="1" ht="24.75" customHeight="1" x14ac:dyDescent="0.3">
      <c r="A46" s="191" t="s">
        <v>383</v>
      </c>
      <c r="B46" s="198" t="s">
        <v>386</v>
      </c>
      <c r="C46" s="193">
        <f t="shared" si="8"/>
        <v>453</v>
      </c>
      <c r="D46" s="193"/>
      <c r="E46" s="193">
        <f t="shared" si="9"/>
        <v>453</v>
      </c>
      <c r="F46" s="193">
        <v>453</v>
      </c>
      <c r="G46" s="193"/>
      <c r="H46" s="193"/>
      <c r="I46" s="193"/>
      <c r="J46" s="193"/>
      <c r="K46" s="193">
        <f t="shared" si="6"/>
        <v>0</v>
      </c>
      <c r="L46" s="193"/>
      <c r="M46" s="193"/>
      <c r="N46" s="193">
        <f t="shared" si="10"/>
        <v>435.4</v>
      </c>
      <c r="O46" s="193"/>
      <c r="P46" s="194">
        <f t="shared" si="11"/>
        <v>435.4</v>
      </c>
      <c r="Q46" s="193">
        <v>435.4</v>
      </c>
      <c r="R46" s="193"/>
      <c r="S46" s="193"/>
      <c r="T46" s="193"/>
      <c r="U46" s="193">
        <f t="shared" si="12"/>
        <v>0</v>
      </c>
      <c r="V46" s="193"/>
      <c r="W46" s="193"/>
      <c r="X46" s="193"/>
      <c r="Y46" s="193"/>
      <c r="Z46" s="193"/>
      <c r="AA46" s="193"/>
      <c r="AB46" s="195">
        <f t="shared" si="3"/>
        <v>96.114790286975705</v>
      </c>
      <c r="AC46" s="195"/>
      <c r="AD46" s="195">
        <f t="shared" si="4"/>
        <v>96.114790286975705</v>
      </c>
      <c r="AE46" s="195"/>
    </row>
    <row r="47" spans="1:31" s="155" customFormat="1" ht="24.75" customHeight="1" x14ac:dyDescent="0.3">
      <c r="A47" s="196" t="s">
        <v>385</v>
      </c>
      <c r="B47" s="198" t="s">
        <v>388</v>
      </c>
      <c r="C47" s="193">
        <f t="shared" si="8"/>
        <v>100</v>
      </c>
      <c r="D47" s="193"/>
      <c r="E47" s="193">
        <f t="shared" si="9"/>
        <v>100</v>
      </c>
      <c r="F47" s="193">
        <v>100</v>
      </c>
      <c r="G47" s="193"/>
      <c r="H47" s="193"/>
      <c r="I47" s="193"/>
      <c r="J47" s="193"/>
      <c r="K47" s="193">
        <f t="shared" si="6"/>
        <v>0</v>
      </c>
      <c r="L47" s="193"/>
      <c r="M47" s="193"/>
      <c r="N47" s="193">
        <f t="shared" si="10"/>
        <v>90</v>
      </c>
      <c r="O47" s="193"/>
      <c r="P47" s="194">
        <f t="shared" si="11"/>
        <v>90</v>
      </c>
      <c r="Q47" s="193">
        <v>90</v>
      </c>
      <c r="R47" s="193"/>
      <c r="S47" s="193"/>
      <c r="T47" s="193"/>
      <c r="U47" s="193">
        <f t="shared" si="12"/>
        <v>0</v>
      </c>
      <c r="V47" s="193"/>
      <c r="W47" s="193"/>
      <c r="X47" s="193"/>
      <c r="Y47" s="193"/>
      <c r="Z47" s="193"/>
      <c r="AA47" s="193"/>
      <c r="AB47" s="195">
        <f t="shared" si="3"/>
        <v>90</v>
      </c>
      <c r="AC47" s="195"/>
      <c r="AD47" s="195">
        <f t="shared" si="4"/>
        <v>90</v>
      </c>
      <c r="AE47" s="195"/>
    </row>
    <row r="48" spans="1:31" s="155" customFormat="1" ht="24.75" customHeight="1" x14ac:dyDescent="0.3">
      <c r="A48" s="191" t="s">
        <v>387</v>
      </c>
      <c r="B48" s="198" t="s">
        <v>390</v>
      </c>
      <c r="C48" s="193">
        <f t="shared" si="8"/>
        <v>1062</v>
      </c>
      <c r="D48" s="193"/>
      <c r="E48" s="193">
        <f t="shared" si="9"/>
        <v>1062</v>
      </c>
      <c r="F48" s="193">
        <v>967</v>
      </c>
      <c r="G48" s="193"/>
      <c r="H48" s="193">
        <v>95</v>
      </c>
      <c r="I48" s="193"/>
      <c r="J48" s="193"/>
      <c r="K48" s="193">
        <f t="shared" si="6"/>
        <v>0</v>
      </c>
      <c r="L48" s="193"/>
      <c r="M48" s="193"/>
      <c r="N48" s="193">
        <f t="shared" si="10"/>
        <v>856.09</v>
      </c>
      <c r="O48" s="193"/>
      <c r="P48" s="194">
        <f t="shared" si="11"/>
        <v>856.09</v>
      </c>
      <c r="Q48" s="193">
        <v>856.09</v>
      </c>
      <c r="R48" s="193"/>
      <c r="S48" s="193"/>
      <c r="T48" s="193"/>
      <c r="U48" s="193">
        <f t="shared" si="12"/>
        <v>0</v>
      </c>
      <c r="V48" s="193"/>
      <c r="W48" s="193"/>
      <c r="X48" s="193"/>
      <c r="Y48" s="193"/>
      <c r="Z48" s="193"/>
      <c r="AA48" s="193"/>
      <c r="AB48" s="195">
        <f t="shared" si="3"/>
        <v>80.611111111111114</v>
      </c>
      <c r="AC48" s="195"/>
      <c r="AD48" s="195">
        <f t="shared" si="4"/>
        <v>80.611111111111114</v>
      </c>
      <c r="AE48" s="195"/>
    </row>
    <row r="49" spans="1:31" s="155" customFormat="1" ht="34.5" customHeight="1" x14ac:dyDescent="0.3">
      <c r="A49" s="196" t="s">
        <v>389</v>
      </c>
      <c r="B49" s="198" t="s">
        <v>392</v>
      </c>
      <c r="C49" s="193">
        <f t="shared" si="8"/>
        <v>1724</v>
      </c>
      <c r="D49" s="193"/>
      <c r="E49" s="193">
        <f t="shared" si="9"/>
        <v>1724</v>
      </c>
      <c r="F49" s="193">
        <v>1724</v>
      </c>
      <c r="G49" s="193"/>
      <c r="H49" s="193"/>
      <c r="I49" s="193"/>
      <c r="J49" s="193"/>
      <c r="K49" s="193">
        <f t="shared" si="6"/>
        <v>0</v>
      </c>
      <c r="L49" s="193"/>
      <c r="M49" s="193"/>
      <c r="N49" s="193">
        <f t="shared" si="10"/>
        <v>1599</v>
      </c>
      <c r="O49" s="193"/>
      <c r="P49" s="194">
        <f t="shared" si="11"/>
        <v>1599</v>
      </c>
      <c r="Q49" s="193">
        <v>1599</v>
      </c>
      <c r="R49" s="193"/>
      <c r="S49" s="193"/>
      <c r="T49" s="193"/>
      <c r="U49" s="193">
        <f t="shared" si="12"/>
        <v>0</v>
      </c>
      <c r="V49" s="193"/>
      <c r="W49" s="193"/>
      <c r="X49" s="193"/>
      <c r="Y49" s="193"/>
      <c r="Z49" s="193"/>
      <c r="AA49" s="193"/>
      <c r="AB49" s="195">
        <f t="shared" si="3"/>
        <v>92.749419953596302</v>
      </c>
      <c r="AC49" s="195"/>
      <c r="AD49" s="195">
        <f t="shared" si="4"/>
        <v>92.749419953596302</v>
      </c>
      <c r="AE49" s="195"/>
    </row>
    <row r="50" spans="1:31" s="155" customFormat="1" ht="24.75" customHeight="1" x14ac:dyDescent="0.3">
      <c r="A50" s="191" t="s">
        <v>391</v>
      </c>
      <c r="B50" s="198" t="s">
        <v>394</v>
      </c>
      <c r="C50" s="193">
        <f t="shared" si="8"/>
        <v>422</v>
      </c>
      <c r="D50" s="193"/>
      <c r="E50" s="193">
        <f t="shared" si="9"/>
        <v>422</v>
      </c>
      <c r="F50" s="193">
        <v>422</v>
      </c>
      <c r="G50" s="193"/>
      <c r="H50" s="193"/>
      <c r="I50" s="193"/>
      <c r="J50" s="193"/>
      <c r="K50" s="193">
        <f t="shared" si="6"/>
        <v>0</v>
      </c>
      <c r="L50" s="193"/>
      <c r="M50" s="193"/>
      <c r="N50" s="193">
        <f t="shared" si="10"/>
        <v>364.4</v>
      </c>
      <c r="O50" s="193"/>
      <c r="P50" s="194">
        <f t="shared" si="11"/>
        <v>364.4</v>
      </c>
      <c r="Q50" s="193">
        <v>364.4</v>
      </c>
      <c r="R50" s="193"/>
      <c r="S50" s="193"/>
      <c r="T50" s="193"/>
      <c r="U50" s="193">
        <f t="shared" si="12"/>
        <v>0</v>
      </c>
      <c r="V50" s="193"/>
      <c r="W50" s="193"/>
      <c r="X50" s="193"/>
      <c r="Y50" s="193"/>
      <c r="Z50" s="193"/>
      <c r="AA50" s="193"/>
      <c r="AB50" s="195">
        <f t="shared" si="3"/>
        <v>86.350710900473928</v>
      </c>
      <c r="AC50" s="195"/>
      <c r="AD50" s="195">
        <f t="shared" si="4"/>
        <v>86.350710900473928</v>
      </c>
      <c r="AE50" s="195"/>
    </row>
    <row r="51" spans="1:31" s="155" customFormat="1" ht="24.75" customHeight="1" x14ac:dyDescent="0.3">
      <c r="A51" s="196" t="s">
        <v>393</v>
      </c>
      <c r="B51" s="198" t="s">
        <v>396</v>
      </c>
      <c r="C51" s="193">
        <f t="shared" si="8"/>
        <v>1406</v>
      </c>
      <c r="D51" s="193"/>
      <c r="E51" s="193">
        <f t="shared" si="9"/>
        <v>1406</v>
      </c>
      <c r="F51" s="193">
        <v>931</v>
      </c>
      <c r="G51" s="193"/>
      <c r="H51" s="193">
        <v>475</v>
      </c>
      <c r="I51" s="193"/>
      <c r="J51" s="193"/>
      <c r="K51" s="193">
        <f t="shared" si="6"/>
        <v>0</v>
      </c>
      <c r="L51" s="193"/>
      <c r="M51" s="193"/>
      <c r="N51" s="193">
        <f t="shared" si="10"/>
        <v>1456.8</v>
      </c>
      <c r="O51" s="193"/>
      <c r="P51" s="194">
        <f t="shared" si="11"/>
        <v>1456.8</v>
      </c>
      <c r="Q51" s="193">
        <v>1456.8</v>
      </c>
      <c r="R51" s="193"/>
      <c r="S51" s="193"/>
      <c r="T51" s="193"/>
      <c r="U51" s="193">
        <f t="shared" si="12"/>
        <v>0</v>
      </c>
      <c r="V51" s="193"/>
      <c r="W51" s="193"/>
      <c r="X51" s="193"/>
      <c r="Y51" s="193"/>
      <c r="Z51" s="193"/>
      <c r="AA51" s="193"/>
      <c r="AB51" s="195">
        <f t="shared" si="3"/>
        <v>103.6130867709815</v>
      </c>
      <c r="AC51" s="195"/>
      <c r="AD51" s="195">
        <f t="shared" si="4"/>
        <v>103.6130867709815</v>
      </c>
      <c r="AE51" s="195"/>
    </row>
    <row r="52" spans="1:31" s="155" customFormat="1" ht="24.75" customHeight="1" x14ac:dyDescent="0.3">
      <c r="A52" s="191" t="s">
        <v>395</v>
      </c>
      <c r="B52" s="198" t="s">
        <v>398</v>
      </c>
      <c r="C52" s="193">
        <f>D52+E52+I52+J52+K52</f>
        <v>223</v>
      </c>
      <c r="D52" s="193"/>
      <c r="E52" s="193">
        <f>F52+G52+H52</f>
        <v>223</v>
      </c>
      <c r="F52" s="193">
        <v>223</v>
      </c>
      <c r="G52" s="193"/>
      <c r="H52" s="193"/>
      <c r="I52" s="193"/>
      <c r="J52" s="193"/>
      <c r="K52" s="193">
        <f>L52+M52</f>
        <v>0</v>
      </c>
      <c r="L52" s="193"/>
      <c r="M52" s="193"/>
      <c r="N52" s="193">
        <f>O52+P52+S52+T52+U52</f>
        <v>0</v>
      </c>
      <c r="O52" s="193"/>
      <c r="P52" s="194">
        <f t="shared" si="11"/>
        <v>0</v>
      </c>
      <c r="Q52" s="193"/>
      <c r="R52" s="193"/>
      <c r="S52" s="193"/>
      <c r="T52" s="193"/>
      <c r="U52" s="193">
        <f>V52+W52</f>
        <v>0</v>
      </c>
      <c r="V52" s="193"/>
      <c r="W52" s="193"/>
      <c r="X52" s="193"/>
      <c r="Y52" s="193"/>
      <c r="Z52" s="193"/>
      <c r="AA52" s="193"/>
      <c r="AB52" s="195">
        <f t="shared" si="3"/>
        <v>0</v>
      </c>
      <c r="AC52" s="195"/>
      <c r="AD52" s="195">
        <f t="shared" si="4"/>
        <v>0</v>
      </c>
      <c r="AE52" s="195"/>
    </row>
    <row r="53" spans="1:31" s="155" customFormat="1" ht="24.75" customHeight="1" x14ac:dyDescent="0.3">
      <c r="A53" s="196" t="s">
        <v>397</v>
      </c>
      <c r="B53" s="198" t="s">
        <v>400</v>
      </c>
      <c r="C53" s="193">
        <f>D53+E53+I53+J53+K53</f>
        <v>100</v>
      </c>
      <c r="D53" s="193"/>
      <c r="E53" s="193">
        <f>F53+G53+H53</f>
        <v>100</v>
      </c>
      <c r="F53" s="193">
        <v>100</v>
      </c>
      <c r="G53" s="193"/>
      <c r="H53" s="193"/>
      <c r="I53" s="193"/>
      <c r="J53" s="193"/>
      <c r="K53" s="193">
        <f>L53+M53</f>
        <v>0</v>
      </c>
      <c r="L53" s="193"/>
      <c r="M53" s="193"/>
      <c r="N53" s="193">
        <f>O53+P53+S53+T53+U53</f>
        <v>0</v>
      </c>
      <c r="O53" s="193"/>
      <c r="P53" s="194">
        <f t="shared" si="11"/>
        <v>0</v>
      </c>
      <c r="Q53" s="193"/>
      <c r="R53" s="193"/>
      <c r="S53" s="193"/>
      <c r="T53" s="193"/>
      <c r="U53" s="193">
        <f>V53+W53</f>
        <v>0</v>
      </c>
      <c r="V53" s="193"/>
      <c r="W53" s="193"/>
      <c r="X53" s="193"/>
      <c r="Y53" s="193"/>
      <c r="Z53" s="193"/>
      <c r="AA53" s="193"/>
      <c r="AB53" s="195">
        <f t="shared" si="3"/>
        <v>0</v>
      </c>
      <c r="AC53" s="195"/>
      <c r="AD53" s="195">
        <f t="shared" si="4"/>
        <v>0</v>
      </c>
      <c r="AE53" s="195"/>
    </row>
    <row r="54" spans="1:31" s="155" customFormat="1" ht="24.75" customHeight="1" x14ac:dyDescent="0.3">
      <c r="A54" s="191" t="s">
        <v>399</v>
      </c>
      <c r="B54" s="198" t="s">
        <v>402</v>
      </c>
      <c r="C54" s="193">
        <f t="shared" si="8"/>
        <v>355</v>
      </c>
      <c r="D54" s="193"/>
      <c r="E54" s="193">
        <f t="shared" si="9"/>
        <v>355</v>
      </c>
      <c r="F54" s="193">
        <v>355</v>
      </c>
      <c r="G54" s="193"/>
      <c r="H54" s="193"/>
      <c r="I54" s="193"/>
      <c r="J54" s="193"/>
      <c r="K54" s="193">
        <f t="shared" si="6"/>
        <v>0</v>
      </c>
      <c r="L54" s="193"/>
      <c r="M54" s="193"/>
      <c r="N54" s="193">
        <f t="shared" si="10"/>
        <v>349</v>
      </c>
      <c r="O54" s="193"/>
      <c r="P54" s="194">
        <f t="shared" si="11"/>
        <v>349</v>
      </c>
      <c r="Q54" s="193">
        <v>349</v>
      </c>
      <c r="R54" s="193"/>
      <c r="S54" s="193"/>
      <c r="T54" s="193"/>
      <c r="U54" s="193">
        <f t="shared" si="12"/>
        <v>0</v>
      </c>
      <c r="V54" s="193"/>
      <c r="W54" s="193"/>
      <c r="X54" s="193"/>
      <c r="Y54" s="193"/>
      <c r="Z54" s="193"/>
      <c r="AA54" s="193"/>
      <c r="AB54" s="195">
        <f t="shared" si="3"/>
        <v>98.309859154929583</v>
      </c>
      <c r="AC54" s="195"/>
      <c r="AD54" s="195">
        <f t="shared" si="4"/>
        <v>98.309859154929583</v>
      </c>
      <c r="AE54" s="195"/>
    </row>
    <row r="55" spans="1:31" s="155" customFormat="1" ht="24.75" customHeight="1" x14ac:dyDescent="0.3">
      <c r="A55" s="196" t="s">
        <v>401</v>
      </c>
      <c r="B55" s="192" t="s">
        <v>404</v>
      </c>
      <c r="C55" s="193">
        <f t="shared" si="8"/>
        <v>1948</v>
      </c>
      <c r="D55" s="193"/>
      <c r="E55" s="193">
        <f t="shared" si="9"/>
        <v>1948</v>
      </c>
      <c r="F55" s="193">
        <v>1948</v>
      </c>
      <c r="G55" s="193"/>
      <c r="H55" s="193"/>
      <c r="I55" s="193"/>
      <c r="J55" s="193"/>
      <c r="K55" s="193">
        <f t="shared" si="6"/>
        <v>0</v>
      </c>
      <c r="L55" s="193"/>
      <c r="M55" s="193"/>
      <c r="N55" s="193">
        <f t="shared" si="10"/>
        <v>1955.75</v>
      </c>
      <c r="O55" s="193"/>
      <c r="P55" s="194">
        <f t="shared" si="11"/>
        <v>1955.75</v>
      </c>
      <c r="Q55" s="193">
        <v>1955.75</v>
      </c>
      <c r="R55" s="193"/>
      <c r="S55" s="193"/>
      <c r="T55" s="193"/>
      <c r="U55" s="193">
        <f t="shared" si="12"/>
        <v>0</v>
      </c>
      <c r="V55" s="193"/>
      <c r="W55" s="193"/>
      <c r="X55" s="193"/>
      <c r="Y55" s="193"/>
      <c r="Z55" s="193"/>
      <c r="AA55" s="193"/>
      <c r="AB55" s="195">
        <f t="shared" si="3"/>
        <v>100.39784394250513</v>
      </c>
      <c r="AC55" s="195"/>
      <c r="AD55" s="195">
        <f t="shared" si="4"/>
        <v>100.39784394250513</v>
      </c>
      <c r="AE55" s="195"/>
    </row>
    <row r="56" spans="1:31" s="155" customFormat="1" ht="24.75" customHeight="1" x14ac:dyDescent="0.3">
      <c r="A56" s="191" t="s">
        <v>403</v>
      </c>
      <c r="B56" s="192" t="s">
        <v>405</v>
      </c>
      <c r="C56" s="193">
        <f t="shared" si="8"/>
        <v>2406</v>
      </c>
      <c r="D56" s="193"/>
      <c r="E56" s="193">
        <f t="shared" si="9"/>
        <v>2106</v>
      </c>
      <c r="F56" s="193">
        <v>2106</v>
      </c>
      <c r="G56" s="193"/>
      <c r="H56" s="193"/>
      <c r="I56" s="193"/>
      <c r="J56" s="193"/>
      <c r="K56" s="193">
        <f t="shared" si="6"/>
        <v>300</v>
      </c>
      <c r="L56" s="193"/>
      <c r="M56" s="193">
        <v>300</v>
      </c>
      <c r="N56" s="193">
        <f t="shared" si="10"/>
        <v>2097.7970999999998</v>
      </c>
      <c r="O56" s="193"/>
      <c r="P56" s="194">
        <f t="shared" si="11"/>
        <v>1824.4030999999998</v>
      </c>
      <c r="Q56" s="193">
        <f>2097.7971-273.394</f>
        <v>1824.4030999999998</v>
      </c>
      <c r="R56" s="193"/>
      <c r="S56" s="193"/>
      <c r="T56" s="193"/>
      <c r="U56" s="193">
        <f t="shared" si="12"/>
        <v>273.39400000000001</v>
      </c>
      <c r="V56" s="193"/>
      <c r="W56" s="193">
        <v>273.39400000000001</v>
      </c>
      <c r="X56" s="193"/>
      <c r="Y56" s="193"/>
      <c r="Z56" s="193"/>
      <c r="AA56" s="193"/>
      <c r="AB56" s="195">
        <f t="shared" si="3"/>
        <v>87.190236907730664</v>
      </c>
      <c r="AC56" s="195"/>
      <c r="AD56" s="195">
        <f t="shared" si="4"/>
        <v>86.628827160493827</v>
      </c>
      <c r="AE56" s="195">
        <f>U56/K56%</f>
        <v>91.13133333333333</v>
      </c>
    </row>
    <row r="57" spans="1:31" s="155" customFormat="1" ht="24.75" customHeight="1" x14ac:dyDescent="0.3">
      <c r="A57" s="196" t="s">
        <v>505</v>
      </c>
      <c r="B57" s="192" t="s">
        <v>504</v>
      </c>
      <c r="C57" s="193">
        <v>886562.88699999999</v>
      </c>
      <c r="D57" s="193">
        <v>814561.88699999999</v>
      </c>
      <c r="E57" s="193">
        <v>72001</v>
      </c>
      <c r="F57" s="193">
        <v>57299</v>
      </c>
      <c r="G57" s="193">
        <v>0</v>
      </c>
      <c r="H57" s="193">
        <v>14702</v>
      </c>
      <c r="I57" s="193">
        <v>0</v>
      </c>
      <c r="J57" s="193">
        <v>0</v>
      </c>
      <c r="K57" s="193">
        <v>0</v>
      </c>
      <c r="L57" s="193">
        <v>0</v>
      </c>
      <c r="M57" s="193">
        <v>0</v>
      </c>
      <c r="N57" s="193">
        <v>146958.185539</v>
      </c>
      <c r="O57" s="193">
        <v>62953.617215000006</v>
      </c>
      <c r="P57" s="193">
        <v>84004.568323999993</v>
      </c>
      <c r="Q57" s="193">
        <v>83604.568323999993</v>
      </c>
      <c r="R57" s="193">
        <v>400</v>
      </c>
      <c r="S57" s="193">
        <v>0</v>
      </c>
      <c r="T57" s="193">
        <v>0</v>
      </c>
      <c r="U57" s="193">
        <v>0</v>
      </c>
      <c r="V57" s="193">
        <v>0</v>
      </c>
      <c r="W57" s="193">
        <v>0</v>
      </c>
      <c r="X57" s="193">
        <v>0</v>
      </c>
      <c r="Y57" s="193">
        <v>0</v>
      </c>
      <c r="Z57" s="193">
        <v>0</v>
      </c>
      <c r="AA57" s="193">
        <v>0</v>
      </c>
      <c r="AB57" s="195">
        <f t="shared" ref="AB57" si="13">N57/C57%</f>
        <v>16.57617160541032</v>
      </c>
      <c r="AC57" s="195"/>
      <c r="AD57" s="195">
        <f t="shared" ref="AD57" si="14">P57/E57%</f>
        <v>116.67139112512325</v>
      </c>
      <c r="AE57" s="195"/>
    </row>
    <row r="58" spans="1:31" s="155" customFormat="1" ht="24.75" customHeight="1" x14ac:dyDescent="0.3">
      <c r="A58" s="196" t="s">
        <v>506</v>
      </c>
      <c r="B58" s="198" t="s">
        <v>406</v>
      </c>
      <c r="C58" s="193">
        <f t="shared" si="8"/>
        <v>208</v>
      </c>
      <c r="D58" s="193"/>
      <c r="E58" s="193">
        <f t="shared" si="9"/>
        <v>208</v>
      </c>
      <c r="F58" s="193">
        <v>208</v>
      </c>
      <c r="G58" s="193"/>
      <c r="H58" s="193"/>
      <c r="I58" s="193"/>
      <c r="J58" s="193"/>
      <c r="K58" s="193">
        <f t="shared" si="6"/>
        <v>0</v>
      </c>
      <c r="L58" s="193"/>
      <c r="M58" s="193"/>
      <c r="N58" s="193">
        <f t="shared" si="10"/>
        <v>0</v>
      </c>
      <c r="O58" s="193"/>
      <c r="P58" s="194">
        <f t="shared" si="11"/>
        <v>0</v>
      </c>
      <c r="Q58" s="193"/>
      <c r="R58" s="193"/>
      <c r="S58" s="193"/>
      <c r="T58" s="193"/>
      <c r="U58" s="193">
        <f t="shared" si="12"/>
        <v>0</v>
      </c>
      <c r="V58" s="193"/>
      <c r="W58" s="193"/>
      <c r="X58" s="193"/>
      <c r="Y58" s="193"/>
      <c r="Z58" s="193"/>
      <c r="AA58" s="193"/>
      <c r="AB58" s="195">
        <f t="shared" si="3"/>
        <v>0</v>
      </c>
      <c r="AC58" s="195"/>
      <c r="AD58" s="195">
        <f t="shared" si="4"/>
        <v>0</v>
      </c>
      <c r="AE58" s="195"/>
    </row>
    <row r="59" spans="1:31" s="155" customFormat="1" ht="24.75" customHeight="1" x14ac:dyDescent="0.3">
      <c r="A59" s="196" t="s">
        <v>507</v>
      </c>
      <c r="B59" s="198" t="s">
        <v>407</v>
      </c>
      <c r="C59" s="193">
        <f t="shared" si="8"/>
        <v>120</v>
      </c>
      <c r="D59" s="193"/>
      <c r="E59" s="193">
        <f t="shared" si="9"/>
        <v>120</v>
      </c>
      <c r="F59" s="193">
        <v>120</v>
      </c>
      <c r="G59" s="193"/>
      <c r="H59" s="193"/>
      <c r="I59" s="193"/>
      <c r="J59" s="193"/>
      <c r="K59" s="193">
        <f t="shared" si="6"/>
        <v>0</v>
      </c>
      <c r="L59" s="193"/>
      <c r="M59" s="193"/>
      <c r="N59" s="193">
        <f t="shared" si="10"/>
        <v>0</v>
      </c>
      <c r="O59" s="193"/>
      <c r="P59" s="194">
        <f t="shared" si="11"/>
        <v>0</v>
      </c>
      <c r="Q59" s="193"/>
      <c r="R59" s="193"/>
      <c r="S59" s="193"/>
      <c r="T59" s="193"/>
      <c r="U59" s="193">
        <f t="shared" si="12"/>
        <v>0</v>
      </c>
      <c r="V59" s="193"/>
      <c r="W59" s="193"/>
      <c r="X59" s="193"/>
      <c r="Y59" s="193"/>
      <c r="Z59" s="193"/>
      <c r="AA59" s="193"/>
      <c r="AB59" s="195">
        <f t="shared" si="3"/>
        <v>0</v>
      </c>
      <c r="AC59" s="195"/>
      <c r="AD59" s="195">
        <f t="shared" si="4"/>
        <v>0</v>
      </c>
      <c r="AE59" s="195"/>
    </row>
    <row r="60" spans="1:31" s="155" customFormat="1" ht="24.75" customHeight="1" x14ac:dyDescent="0.3">
      <c r="A60" s="196" t="s">
        <v>508</v>
      </c>
      <c r="B60" s="198" t="s">
        <v>408</v>
      </c>
      <c r="C60" s="193">
        <f t="shared" si="8"/>
        <v>100</v>
      </c>
      <c r="D60" s="193"/>
      <c r="E60" s="193">
        <f t="shared" si="9"/>
        <v>100</v>
      </c>
      <c r="F60" s="193">
        <v>100</v>
      </c>
      <c r="G60" s="193"/>
      <c r="H60" s="193"/>
      <c r="I60" s="193"/>
      <c r="J60" s="193"/>
      <c r="K60" s="193">
        <f t="shared" si="6"/>
        <v>0</v>
      </c>
      <c r="L60" s="193"/>
      <c r="M60" s="193"/>
      <c r="N60" s="193">
        <f t="shared" si="10"/>
        <v>168</v>
      </c>
      <c r="O60" s="193"/>
      <c r="P60" s="194">
        <f t="shared" si="11"/>
        <v>168</v>
      </c>
      <c r="Q60" s="193"/>
      <c r="R60" s="193">
        <v>168</v>
      </c>
      <c r="S60" s="193"/>
      <c r="T60" s="193"/>
      <c r="U60" s="193">
        <f t="shared" si="12"/>
        <v>0</v>
      </c>
      <c r="V60" s="193"/>
      <c r="W60" s="193"/>
      <c r="X60" s="193"/>
      <c r="Y60" s="193"/>
      <c r="Z60" s="193"/>
      <c r="AA60" s="193"/>
      <c r="AB60" s="195">
        <f t="shared" si="3"/>
        <v>168</v>
      </c>
      <c r="AC60" s="195"/>
      <c r="AD60" s="195">
        <f t="shared" si="4"/>
        <v>168</v>
      </c>
      <c r="AE60" s="195"/>
    </row>
    <row r="61" spans="1:31" s="155" customFormat="1" ht="24.75" customHeight="1" x14ac:dyDescent="0.3">
      <c r="A61" s="196" t="s">
        <v>509</v>
      </c>
      <c r="B61" s="201" t="s">
        <v>409</v>
      </c>
      <c r="C61" s="193">
        <f t="shared" si="8"/>
        <v>0</v>
      </c>
      <c r="D61" s="193"/>
      <c r="E61" s="193">
        <f t="shared" si="9"/>
        <v>0</v>
      </c>
      <c r="F61" s="193"/>
      <c r="G61" s="193"/>
      <c r="H61" s="193"/>
      <c r="I61" s="193"/>
      <c r="J61" s="193"/>
      <c r="K61" s="193">
        <f t="shared" si="6"/>
        <v>0</v>
      </c>
      <c r="L61" s="193"/>
      <c r="M61" s="193"/>
      <c r="N61" s="193">
        <f t="shared" si="10"/>
        <v>6</v>
      </c>
      <c r="O61" s="193"/>
      <c r="P61" s="194">
        <f t="shared" si="11"/>
        <v>6</v>
      </c>
      <c r="Q61" s="193">
        <v>6</v>
      </c>
      <c r="R61" s="193"/>
      <c r="S61" s="193"/>
      <c r="T61" s="193"/>
      <c r="U61" s="193">
        <f t="shared" si="12"/>
        <v>0</v>
      </c>
      <c r="V61" s="193"/>
      <c r="W61" s="193"/>
      <c r="X61" s="193"/>
      <c r="Y61" s="193"/>
      <c r="Z61" s="193"/>
      <c r="AA61" s="193"/>
      <c r="AB61" s="195"/>
      <c r="AC61" s="195"/>
      <c r="AD61" s="195"/>
      <c r="AE61" s="195"/>
    </row>
    <row r="62" spans="1:31" s="155" customFormat="1" ht="38.25" customHeight="1" x14ac:dyDescent="0.3">
      <c r="A62" s="196" t="s">
        <v>510</v>
      </c>
      <c r="B62" s="201" t="s">
        <v>410</v>
      </c>
      <c r="C62" s="193">
        <f t="shared" si="8"/>
        <v>92</v>
      </c>
      <c r="D62" s="193"/>
      <c r="E62" s="193">
        <f t="shared" si="9"/>
        <v>92</v>
      </c>
      <c r="F62" s="193">
        <v>92</v>
      </c>
      <c r="G62" s="193"/>
      <c r="H62" s="193"/>
      <c r="I62" s="193"/>
      <c r="J62" s="193"/>
      <c r="K62" s="193">
        <f t="shared" si="6"/>
        <v>0</v>
      </c>
      <c r="L62" s="193"/>
      <c r="M62" s="193"/>
      <c r="N62" s="193">
        <f t="shared" si="10"/>
        <v>65</v>
      </c>
      <c r="O62" s="193"/>
      <c r="P62" s="194">
        <f t="shared" si="11"/>
        <v>65</v>
      </c>
      <c r="Q62" s="193">
        <v>65</v>
      </c>
      <c r="R62" s="193"/>
      <c r="S62" s="193"/>
      <c r="T62" s="193"/>
      <c r="U62" s="193">
        <f t="shared" si="12"/>
        <v>0</v>
      </c>
      <c r="V62" s="193"/>
      <c r="W62" s="193"/>
      <c r="X62" s="193"/>
      <c r="Y62" s="193"/>
      <c r="Z62" s="193"/>
      <c r="AA62" s="193"/>
      <c r="AB62" s="195">
        <f t="shared" si="3"/>
        <v>70.65217391304347</v>
      </c>
      <c r="AC62" s="195"/>
      <c r="AD62" s="195">
        <f t="shared" si="4"/>
        <v>70.65217391304347</v>
      </c>
      <c r="AE62" s="195"/>
    </row>
    <row r="63" spans="1:31" s="155" customFormat="1" ht="45.75" customHeight="1" x14ac:dyDescent="0.3">
      <c r="A63" s="196" t="s">
        <v>511</v>
      </c>
      <c r="B63" s="201" t="s">
        <v>411</v>
      </c>
      <c r="C63" s="193">
        <f t="shared" si="8"/>
        <v>4090</v>
      </c>
      <c r="D63" s="193">
        <v>4090</v>
      </c>
      <c r="E63" s="193">
        <f t="shared" si="9"/>
        <v>0</v>
      </c>
      <c r="F63" s="193"/>
      <c r="G63" s="193"/>
      <c r="H63" s="193"/>
      <c r="I63" s="193"/>
      <c r="J63" s="193"/>
      <c r="K63" s="193">
        <f t="shared" si="6"/>
        <v>0</v>
      </c>
      <c r="L63" s="193"/>
      <c r="M63" s="193"/>
      <c r="N63" s="193">
        <f t="shared" si="10"/>
        <v>11301.775888</v>
      </c>
      <c r="O63" s="193">
        <v>11301.775888</v>
      </c>
      <c r="P63" s="194">
        <f t="shared" si="11"/>
        <v>0</v>
      </c>
      <c r="Q63" s="193"/>
      <c r="R63" s="193"/>
      <c r="S63" s="193"/>
      <c r="T63" s="193"/>
      <c r="U63" s="193">
        <f t="shared" si="12"/>
        <v>0</v>
      </c>
      <c r="V63" s="193"/>
      <c r="W63" s="193"/>
      <c r="X63" s="193"/>
      <c r="Y63" s="193"/>
      <c r="Z63" s="193"/>
      <c r="AA63" s="193"/>
      <c r="AB63" s="195"/>
      <c r="AC63" s="195">
        <f>O63/D63%</f>
        <v>276.3270388264059</v>
      </c>
      <c r="AD63" s="195"/>
      <c r="AE63" s="195"/>
    </row>
    <row r="64" spans="1:31" s="155" customFormat="1" ht="24.75" customHeight="1" x14ac:dyDescent="0.3">
      <c r="A64" s="196" t="s">
        <v>512</v>
      </c>
      <c r="B64" s="201" t="s">
        <v>412</v>
      </c>
      <c r="C64" s="193">
        <f t="shared" si="8"/>
        <v>55406</v>
      </c>
      <c r="D64" s="193">
        <v>53261</v>
      </c>
      <c r="E64" s="193">
        <f t="shared" si="9"/>
        <v>2145</v>
      </c>
      <c r="F64" s="193"/>
      <c r="G64" s="193"/>
      <c r="H64" s="193">
        <v>2145</v>
      </c>
      <c r="I64" s="193"/>
      <c r="J64" s="193"/>
      <c r="K64" s="193">
        <f t="shared" si="6"/>
        <v>0</v>
      </c>
      <c r="L64" s="193"/>
      <c r="M64" s="193"/>
      <c r="N64" s="193">
        <f t="shared" si="10"/>
        <v>113014.33151500001</v>
      </c>
      <c r="O64" s="193">
        <v>84123.53151500001</v>
      </c>
      <c r="P64" s="194">
        <f t="shared" si="11"/>
        <v>28890.799999999999</v>
      </c>
      <c r="Q64" s="193">
        <v>28890.799999999999</v>
      </c>
      <c r="R64" s="193"/>
      <c r="S64" s="193"/>
      <c r="T64" s="193"/>
      <c r="U64" s="193">
        <f t="shared" si="12"/>
        <v>0</v>
      </c>
      <c r="V64" s="193"/>
      <c r="W64" s="193"/>
      <c r="X64" s="193"/>
      <c r="Y64" s="193"/>
      <c r="Z64" s="193"/>
      <c r="AA64" s="193"/>
      <c r="AB64" s="195"/>
      <c r="AC64" s="195">
        <f>O64/D64%</f>
        <v>157.94583563019847</v>
      </c>
      <c r="AD64" s="195"/>
      <c r="AE64" s="195"/>
    </row>
    <row r="65" spans="1:31" s="155" customFormat="1" ht="24.75" customHeight="1" x14ac:dyDescent="0.3">
      <c r="A65" s="196" t="s">
        <v>513</v>
      </c>
      <c r="B65" s="202" t="s">
        <v>413</v>
      </c>
      <c r="C65" s="193">
        <f t="shared" si="8"/>
        <v>407278.772</v>
      </c>
      <c r="D65" s="193">
        <v>407278.772</v>
      </c>
      <c r="E65" s="193">
        <f t="shared" si="9"/>
        <v>0</v>
      </c>
      <c r="F65" s="193"/>
      <c r="G65" s="193"/>
      <c r="H65" s="193"/>
      <c r="I65" s="193"/>
      <c r="J65" s="193"/>
      <c r="K65" s="193">
        <f t="shared" si="6"/>
        <v>0</v>
      </c>
      <c r="L65" s="193"/>
      <c r="M65" s="193"/>
      <c r="N65" s="193">
        <f t="shared" si="10"/>
        <v>703179.33624099998</v>
      </c>
      <c r="O65" s="193">
        <v>703179.33624099998</v>
      </c>
      <c r="P65" s="194">
        <f t="shared" si="11"/>
        <v>0</v>
      </c>
      <c r="Q65" s="193"/>
      <c r="R65" s="193"/>
      <c r="S65" s="193"/>
      <c r="T65" s="193"/>
      <c r="U65" s="193">
        <f t="shared" si="12"/>
        <v>0</v>
      </c>
      <c r="V65" s="193"/>
      <c r="W65" s="193"/>
      <c r="X65" s="193"/>
      <c r="Y65" s="193"/>
      <c r="Z65" s="193"/>
      <c r="AA65" s="193"/>
      <c r="AB65" s="195"/>
      <c r="AC65" s="195">
        <f>O65/D65%</f>
        <v>172.65307808406965</v>
      </c>
      <c r="AD65" s="195"/>
      <c r="AE65" s="195"/>
    </row>
    <row r="66" spans="1:31" s="155" customFormat="1" ht="24.75" customHeight="1" x14ac:dyDescent="0.3">
      <c r="A66" s="196" t="s">
        <v>514</v>
      </c>
      <c r="B66" s="201" t="s">
        <v>414</v>
      </c>
      <c r="C66" s="193">
        <f t="shared" si="8"/>
        <v>57034.191999999995</v>
      </c>
      <c r="D66" s="193">
        <v>57034.191999999995</v>
      </c>
      <c r="E66" s="193">
        <f t="shared" si="9"/>
        <v>0</v>
      </c>
      <c r="F66" s="193"/>
      <c r="G66" s="193"/>
      <c r="H66" s="193"/>
      <c r="I66" s="193"/>
      <c r="J66" s="193"/>
      <c r="K66" s="193">
        <f t="shared" si="6"/>
        <v>0</v>
      </c>
      <c r="L66" s="193"/>
      <c r="M66" s="193"/>
      <c r="N66" s="193">
        <f t="shared" si="10"/>
        <v>65726.881714000003</v>
      </c>
      <c r="O66" s="193">
        <v>65726.881714000003</v>
      </c>
      <c r="P66" s="194">
        <f t="shared" si="11"/>
        <v>0</v>
      </c>
      <c r="Q66" s="193"/>
      <c r="R66" s="193"/>
      <c r="S66" s="193"/>
      <c r="T66" s="193"/>
      <c r="U66" s="193">
        <f t="shared" si="12"/>
        <v>0</v>
      </c>
      <c r="V66" s="193"/>
      <c r="W66" s="193"/>
      <c r="X66" s="193"/>
      <c r="Y66" s="193"/>
      <c r="Z66" s="193"/>
      <c r="AA66" s="193"/>
      <c r="AB66" s="195"/>
      <c r="AC66" s="195">
        <f>O66/D66%</f>
        <v>115.24119025653945</v>
      </c>
      <c r="AD66" s="195"/>
      <c r="AE66" s="195"/>
    </row>
    <row r="67" spans="1:31" s="155" customFormat="1" ht="38.25" customHeight="1" x14ac:dyDescent="0.3">
      <c r="A67" s="196" t="s">
        <v>515</v>
      </c>
      <c r="B67" s="201" t="s">
        <v>415</v>
      </c>
      <c r="C67" s="193">
        <f t="shared" si="8"/>
        <v>2000.001</v>
      </c>
      <c r="D67" s="193">
        <v>2000.001</v>
      </c>
      <c r="E67" s="193">
        <f t="shared" si="9"/>
        <v>0</v>
      </c>
      <c r="F67" s="193"/>
      <c r="G67" s="193"/>
      <c r="H67" s="193"/>
      <c r="I67" s="193"/>
      <c r="J67" s="193"/>
      <c r="K67" s="193">
        <f t="shared" si="6"/>
        <v>0</v>
      </c>
      <c r="L67" s="193"/>
      <c r="M67" s="193"/>
      <c r="N67" s="193">
        <f t="shared" si="10"/>
        <v>2201.6806160000001</v>
      </c>
      <c r="O67" s="193">
        <v>2201.6806160000001</v>
      </c>
      <c r="P67" s="194">
        <f t="shared" si="11"/>
        <v>0</v>
      </c>
      <c r="Q67" s="193"/>
      <c r="R67" s="193"/>
      <c r="S67" s="193"/>
      <c r="T67" s="193"/>
      <c r="U67" s="193">
        <f t="shared" si="12"/>
        <v>0</v>
      </c>
      <c r="V67" s="193"/>
      <c r="W67" s="193"/>
      <c r="X67" s="193"/>
      <c r="Y67" s="193"/>
      <c r="Z67" s="193"/>
      <c r="AA67" s="193"/>
      <c r="AB67" s="195"/>
      <c r="AC67" s="195">
        <f>O67/D67%</f>
        <v>110.08397575801213</v>
      </c>
      <c r="AD67" s="195"/>
      <c r="AE67" s="195"/>
    </row>
    <row r="68" spans="1:31" s="155" customFormat="1" ht="34.5" customHeight="1" x14ac:dyDescent="0.3">
      <c r="A68" s="196" t="s">
        <v>516</v>
      </c>
      <c r="B68" s="203" t="s">
        <v>416</v>
      </c>
      <c r="C68" s="193">
        <f t="shared" si="8"/>
        <v>0</v>
      </c>
      <c r="D68" s="193"/>
      <c r="E68" s="193">
        <f t="shared" si="9"/>
        <v>0</v>
      </c>
      <c r="F68" s="193"/>
      <c r="G68" s="193"/>
      <c r="H68" s="193"/>
      <c r="I68" s="193"/>
      <c r="J68" s="193"/>
      <c r="K68" s="193">
        <f t="shared" si="6"/>
        <v>0</v>
      </c>
      <c r="L68" s="193"/>
      <c r="M68" s="193"/>
      <c r="N68" s="193">
        <f t="shared" si="10"/>
        <v>3674.9975709999999</v>
      </c>
      <c r="O68" s="193">
        <v>3674.9975709999999</v>
      </c>
      <c r="P68" s="194">
        <f t="shared" si="11"/>
        <v>0</v>
      </c>
      <c r="Q68" s="193"/>
      <c r="R68" s="193"/>
      <c r="S68" s="193"/>
      <c r="T68" s="193"/>
      <c r="U68" s="193">
        <f t="shared" si="12"/>
        <v>0</v>
      </c>
      <c r="V68" s="193"/>
      <c r="W68" s="193"/>
      <c r="X68" s="193"/>
      <c r="Y68" s="193"/>
      <c r="Z68" s="193"/>
      <c r="AA68" s="193"/>
      <c r="AB68" s="195"/>
      <c r="AC68" s="195"/>
      <c r="AD68" s="195"/>
      <c r="AE68" s="195"/>
    </row>
    <row r="69" spans="1:31" s="155" customFormat="1" ht="39.75" customHeight="1" x14ac:dyDescent="0.3">
      <c r="A69" s="196" t="s">
        <v>517</v>
      </c>
      <c r="B69" s="204" t="s">
        <v>417</v>
      </c>
      <c r="C69" s="193">
        <f t="shared" si="8"/>
        <v>11342</v>
      </c>
      <c r="D69" s="193"/>
      <c r="E69" s="193">
        <f t="shared" si="9"/>
        <v>11342</v>
      </c>
      <c r="F69" s="193"/>
      <c r="G69" s="193"/>
      <c r="H69" s="193">
        <v>11342</v>
      </c>
      <c r="I69" s="193"/>
      <c r="J69" s="193"/>
      <c r="K69" s="193">
        <f t="shared" si="6"/>
        <v>0</v>
      </c>
      <c r="L69" s="193"/>
      <c r="M69" s="193"/>
      <c r="N69" s="193">
        <f t="shared" si="10"/>
        <v>5000</v>
      </c>
      <c r="O69" s="193">
        <v>5000</v>
      </c>
      <c r="P69" s="194">
        <f t="shared" si="11"/>
        <v>0</v>
      </c>
      <c r="Q69" s="193"/>
      <c r="R69" s="193"/>
      <c r="S69" s="193"/>
      <c r="T69" s="193"/>
      <c r="U69" s="193">
        <f t="shared" si="12"/>
        <v>0</v>
      </c>
      <c r="V69" s="193"/>
      <c r="W69" s="193"/>
      <c r="X69" s="193"/>
      <c r="Y69" s="193"/>
      <c r="Z69" s="193"/>
      <c r="AA69" s="193"/>
      <c r="AB69" s="195"/>
      <c r="AC69" s="195"/>
      <c r="AD69" s="195"/>
      <c r="AE69" s="195"/>
    </row>
    <row r="70" spans="1:31" s="155" customFormat="1" ht="41.25" customHeight="1" x14ac:dyDescent="0.3">
      <c r="A70" s="196" t="s">
        <v>518</v>
      </c>
      <c r="B70" s="201" t="s">
        <v>418</v>
      </c>
      <c r="C70" s="193">
        <f t="shared" si="8"/>
        <v>0</v>
      </c>
      <c r="D70" s="193"/>
      <c r="E70" s="193">
        <f t="shared" si="9"/>
        <v>0</v>
      </c>
      <c r="F70" s="193"/>
      <c r="G70" s="193"/>
      <c r="H70" s="193"/>
      <c r="I70" s="193"/>
      <c r="J70" s="193"/>
      <c r="K70" s="193">
        <f t="shared" si="6"/>
        <v>0</v>
      </c>
      <c r="L70" s="193"/>
      <c r="M70" s="193"/>
      <c r="N70" s="193">
        <f t="shared" si="10"/>
        <v>3520.0270000000005</v>
      </c>
      <c r="O70" s="193">
        <v>3520.0270000000005</v>
      </c>
      <c r="P70" s="194">
        <f t="shared" si="11"/>
        <v>0</v>
      </c>
      <c r="Q70" s="193"/>
      <c r="R70" s="193"/>
      <c r="S70" s="193"/>
      <c r="T70" s="193"/>
      <c r="U70" s="193">
        <f t="shared" si="12"/>
        <v>0</v>
      </c>
      <c r="V70" s="193"/>
      <c r="W70" s="193"/>
      <c r="X70" s="193"/>
      <c r="Y70" s="193"/>
      <c r="Z70" s="193"/>
      <c r="AA70" s="193"/>
      <c r="AB70" s="195"/>
      <c r="AC70" s="195"/>
      <c r="AD70" s="195"/>
      <c r="AE70" s="195"/>
    </row>
    <row r="71" spans="1:31" s="155" customFormat="1" ht="41.25" customHeight="1" x14ac:dyDescent="0.3">
      <c r="A71" s="196" t="s">
        <v>519</v>
      </c>
      <c r="B71" s="201" t="s">
        <v>419</v>
      </c>
      <c r="C71" s="193">
        <f t="shared" si="8"/>
        <v>6000</v>
      </c>
      <c r="D71" s="193">
        <v>6000</v>
      </c>
      <c r="E71" s="193">
        <f t="shared" si="9"/>
        <v>0</v>
      </c>
      <c r="F71" s="193"/>
      <c r="G71" s="193"/>
      <c r="H71" s="193"/>
      <c r="I71" s="193"/>
      <c r="J71" s="193"/>
      <c r="K71" s="193">
        <f t="shared" si="6"/>
        <v>0</v>
      </c>
      <c r="L71" s="193"/>
      <c r="M71" s="193"/>
      <c r="N71" s="193">
        <f t="shared" si="10"/>
        <v>5935.0619999999999</v>
      </c>
      <c r="O71" s="193">
        <v>5935.0619999999999</v>
      </c>
      <c r="P71" s="194">
        <f t="shared" si="11"/>
        <v>0</v>
      </c>
      <c r="Q71" s="193"/>
      <c r="R71" s="193"/>
      <c r="S71" s="193"/>
      <c r="T71" s="193"/>
      <c r="U71" s="193">
        <f t="shared" si="12"/>
        <v>0</v>
      </c>
      <c r="V71" s="193"/>
      <c r="W71" s="193"/>
      <c r="X71" s="193"/>
      <c r="Y71" s="193"/>
      <c r="Z71" s="193"/>
      <c r="AA71" s="193"/>
      <c r="AB71" s="195"/>
      <c r="AC71" s="195">
        <f>O71/D71%</f>
        <v>98.917699999999996</v>
      </c>
      <c r="AD71" s="195"/>
      <c r="AE71" s="195"/>
    </row>
    <row r="72" spans="1:31" s="155" customFormat="1" ht="39.75" customHeight="1" x14ac:dyDescent="0.3">
      <c r="A72" s="196" t="s">
        <v>520</v>
      </c>
      <c r="B72" s="201" t="s">
        <v>420</v>
      </c>
      <c r="C72" s="193">
        <f t="shared" si="8"/>
        <v>0</v>
      </c>
      <c r="D72" s="193"/>
      <c r="E72" s="193">
        <f t="shared" si="9"/>
        <v>0</v>
      </c>
      <c r="F72" s="193"/>
      <c r="G72" s="193"/>
      <c r="H72" s="193"/>
      <c r="I72" s="193"/>
      <c r="J72" s="193"/>
      <c r="K72" s="193">
        <f t="shared" si="6"/>
        <v>0</v>
      </c>
      <c r="L72" s="193"/>
      <c r="M72" s="193"/>
      <c r="N72" s="193">
        <f t="shared" si="10"/>
        <v>7820</v>
      </c>
      <c r="O72" s="193">
        <v>7820</v>
      </c>
      <c r="P72" s="194">
        <f t="shared" si="11"/>
        <v>0</v>
      </c>
      <c r="Q72" s="193"/>
      <c r="R72" s="193"/>
      <c r="S72" s="193"/>
      <c r="T72" s="193"/>
      <c r="U72" s="193">
        <f t="shared" si="12"/>
        <v>0</v>
      </c>
      <c r="V72" s="193"/>
      <c r="W72" s="193"/>
      <c r="X72" s="193"/>
      <c r="Y72" s="193"/>
      <c r="Z72" s="193"/>
      <c r="AA72" s="193"/>
      <c r="AB72" s="195"/>
      <c r="AC72" s="195"/>
      <c r="AD72" s="195"/>
      <c r="AE72" s="195"/>
    </row>
    <row r="73" spans="1:31" s="155" customFormat="1" ht="24.75" customHeight="1" x14ac:dyDescent="0.3">
      <c r="A73" s="196" t="s">
        <v>521</v>
      </c>
      <c r="B73" s="201" t="s">
        <v>421</v>
      </c>
      <c r="C73" s="193">
        <f t="shared" si="8"/>
        <v>0</v>
      </c>
      <c r="D73" s="193"/>
      <c r="E73" s="193">
        <f t="shared" si="9"/>
        <v>0</v>
      </c>
      <c r="F73" s="193"/>
      <c r="G73" s="193"/>
      <c r="H73" s="193"/>
      <c r="I73" s="193"/>
      <c r="J73" s="193"/>
      <c r="K73" s="193">
        <f t="shared" si="6"/>
        <v>0</v>
      </c>
      <c r="L73" s="193"/>
      <c r="M73" s="193"/>
      <c r="N73" s="193">
        <f t="shared" si="10"/>
        <v>25.413</v>
      </c>
      <c r="O73" s="193">
        <v>25.413</v>
      </c>
      <c r="P73" s="194">
        <f t="shared" si="11"/>
        <v>0</v>
      </c>
      <c r="Q73" s="193"/>
      <c r="R73" s="193"/>
      <c r="S73" s="193"/>
      <c r="T73" s="193"/>
      <c r="U73" s="193">
        <f t="shared" si="12"/>
        <v>0</v>
      </c>
      <c r="V73" s="193"/>
      <c r="W73" s="193"/>
      <c r="X73" s="193"/>
      <c r="Y73" s="193"/>
      <c r="Z73" s="193"/>
      <c r="AA73" s="193"/>
      <c r="AB73" s="195"/>
      <c r="AC73" s="195"/>
      <c r="AD73" s="195"/>
      <c r="AE73" s="195"/>
    </row>
    <row r="74" spans="1:31" s="155" customFormat="1" ht="43.5" customHeight="1" x14ac:dyDescent="0.3">
      <c r="A74" s="196" t="s">
        <v>522</v>
      </c>
      <c r="B74" s="201" t="s">
        <v>422</v>
      </c>
      <c r="C74" s="193">
        <f t="shared" si="8"/>
        <v>0</v>
      </c>
      <c r="D74" s="193"/>
      <c r="E74" s="193">
        <f t="shared" si="9"/>
        <v>0</v>
      </c>
      <c r="F74" s="193"/>
      <c r="G74" s="193"/>
      <c r="H74" s="193"/>
      <c r="I74" s="193"/>
      <c r="J74" s="193"/>
      <c r="K74" s="193">
        <f t="shared" si="6"/>
        <v>0</v>
      </c>
      <c r="L74" s="193"/>
      <c r="M74" s="193"/>
      <c r="N74" s="193">
        <f t="shared" si="10"/>
        <v>1294.7341339999998</v>
      </c>
      <c r="O74" s="193">
        <v>1294.7341339999998</v>
      </c>
      <c r="P74" s="194">
        <f t="shared" si="11"/>
        <v>0</v>
      </c>
      <c r="Q74" s="193"/>
      <c r="R74" s="193"/>
      <c r="S74" s="193"/>
      <c r="T74" s="193"/>
      <c r="U74" s="193">
        <f t="shared" si="12"/>
        <v>0</v>
      </c>
      <c r="V74" s="193"/>
      <c r="W74" s="193"/>
      <c r="X74" s="193"/>
      <c r="Y74" s="193"/>
      <c r="Z74" s="193"/>
      <c r="AA74" s="193"/>
      <c r="AB74" s="195"/>
      <c r="AC74" s="195"/>
      <c r="AD74" s="195"/>
      <c r="AE74" s="195"/>
    </row>
    <row r="75" spans="1:31" s="155" customFormat="1" ht="32.25" customHeight="1" x14ac:dyDescent="0.3">
      <c r="A75" s="196" t="s">
        <v>523</v>
      </c>
      <c r="B75" s="201" t="s">
        <v>423</v>
      </c>
      <c r="C75" s="193">
        <f t="shared" si="8"/>
        <v>25509.671999999999</v>
      </c>
      <c r="D75" s="193">
        <v>25509.671999999999</v>
      </c>
      <c r="E75" s="193">
        <f t="shared" si="9"/>
        <v>0</v>
      </c>
      <c r="F75" s="193"/>
      <c r="G75" s="193"/>
      <c r="H75" s="193"/>
      <c r="I75" s="193"/>
      <c r="J75" s="193"/>
      <c r="K75" s="193">
        <f t="shared" si="6"/>
        <v>0</v>
      </c>
      <c r="L75" s="193"/>
      <c r="M75" s="193"/>
      <c r="N75" s="193">
        <f t="shared" si="10"/>
        <v>31343.548643999999</v>
      </c>
      <c r="O75" s="193">
        <v>31343.548643999999</v>
      </c>
      <c r="P75" s="194">
        <f t="shared" si="11"/>
        <v>0</v>
      </c>
      <c r="Q75" s="193"/>
      <c r="R75" s="193"/>
      <c r="S75" s="193"/>
      <c r="T75" s="193"/>
      <c r="U75" s="193">
        <f t="shared" si="12"/>
        <v>0</v>
      </c>
      <c r="V75" s="193"/>
      <c r="W75" s="193"/>
      <c r="X75" s="193"/>
      <c r="Y75" s="193"/>
      <c r="Z75" s="193"/>
      <c r="AA75" s="193"/>
      <c r="AB75" s="195"/>
      <c r="AC75" s="195">
        <f>O75/D75%</f>
        <v>122.86927344263776</v>
      </c>
      <c r="AD75" s="195"/>
      <c r="AE75" s="195"/>
    </row>
    <row r="76" spans="1:31" s="155" customFormat="1" ht="42" customHeight="1" x14ac:dyDescent="0.3">
      <c r="A76" s="196" t="s">
        <v>524</v>
      </c>
      <c r="B76" s="201" t="s">
        <v>424</v>
      </c>
      <c r="C76" s="193">
        <f t="shared" si="8"/>
        <v>185591</v>
      </c>
      <c r="D76" s="193">
        <v>185591</v>
      </c>
      <c r="E76" s="193">
        <f t="shared" si="9"/>
        <v>0</v>
      </c>
      <c r="F76" s="193"/>
      <c r="G76" s="193"/>
      <c r="H76" s="193"/>
      <c r="I76" s="193"/>
      <c r="J76" s="193"/>
      <c r="K76" s="193">
        <f t="shared" si="6"/>
        <v>0</v>
      </c>
      <c r="L76" s="193"/>
      <c r="M76" s="193"/>
      <c r="N76" s="193">
        <f t="shared" si="10"/>
        <v>43591.076178000003</v>
      </c>
      <c r="O76" s="193">
        <v>43591.076178000003</v>
      </c>
      <c r="P76" s="194">
        <f t="shared" si="11"/>
        <v>0</v>
      </c>
      <c r="Q76" s="193"/>
      <c r="R76" s="193"/>
      <c r="S76" s="193"/>
      <c r="T76" s="193"/>
      <c r="U76" s="193">
        <f t="shared" si="12"/>
        <v>0</v>
      </c>
      <c r="V76" s="193"/>
      <c r="W76" s="193"/>
      <c r="X76" s="193"/>
      <c r="Y76" s="193"/>
      <c r="Z76" s="193"/>
      <c r="AA76" s="193"/>
      <c r="AB76" s="195"/>
      <c r="AC76" s="195">
        <f>O76/D76%</f>
        <v>23.48771016805772</v>
      </c>
      <c r="AD76" s="195"/>
      <c r="AE76" s="195"/>
    </row>
    <row r="77" spans="1:31" s="155" customFormat="1" ht="24.75" customHeight="1" x14ac:dyDescent="0.3">
      <c r="A77" s="196" t="s">
        <v>525</v>
      </c>
      <c r="B77" s="201" t="s">
        <v>425</v>
      </c>
      <c r="C77" s="193">
        <f t="shared" si="8"/>
        <v>45523.284</v>
      </c>
      <c r="D77" s="193">
        <v>45523.284</v>
      </c>
      <c r="E77" s="193">
        <f t="shared" si="9"/>
        <v>0</v>
      </c>
      <c r="F77" s="193"/>
      <c r="G77" s="193"/>
      <c r="H77" s="193"/>
      <c r="I77" s="193"/>
      <c r="J77" s="193"/>
      <c r="K77" s="193">
        <f t="shared" ref="K77:K115" si="15">L77+M77</f>
        <v>0</v>
      </c>
      <c r="L77" s="193"/>
      <c r="M77" s="193"/>
      <c r="N77" s="193">
        <f t="shared" si="10"/>
        <v>39348.176610000002</v>
      </c>
      <c r="O77" s="193">
        <v>39348.176610000002</v>
      </c>
      <c r="P77" s="194">
        <f t="shared" si="11"/>
        <v>0</v>
      </c>
      <c r="Q77" s="193"/>
      <c r="R77" s="193"/>
      <c r="S77" s="193"/>
      <c r="T77" s="193"/>
      <c r="U77" s="193">
        <f t="shared" si="12"/>
        <v>0</v>
      </c>
      <c r="V77" s="193"/>
      <c r="W77" s="193"/>
      <c r="X77" s="193"/>
      <c r="Y77" s="193"/>
      <c r="Z77" s="193"/>
      <c r="AA77" s="193"/>
      <c r="AB77" s="195"/>
      <c r="AC77" s="195">
        <f>O77/D77%</f>
        <v>86.435276967276792</v>
      </c>
      <c r="AD77" s="195"/>
      <c r="AE77" s="195"/>
    </row>
    <row r="78" spans="1:31" s="155" customFormat="1" ht="24.75" customHeight="1" x14ac:dyDescent="0.3">
      <c r="A78" s="196" t="s">
        <v>526</v>
      </c>
      <c r="B78" s="201" t="s">
        <v>426</v>
      </c>
      <c r="C78" s="193">
        <f t="shared" ref="C78:C115" si="16">D78+E78+I78+J78+K78</f>
        <v>0</v>
      </c>
      <c r="D78" s="193"/>
      <c r="E78" s="193">
        <f t="shared" ref="E78:E89" si="17">F78+G78+H78</f>
        <v>0</v>
      </c>
      <c r="F78" s="193"/>
      <c r="G78" s="193"/>
      <c r="H78" s="193"/>
      <c r="I78" s="193"/>
      <c r="J78" s="193"/>
      <c r="K78" s="193">
        <f t="shared" si="15"/>
        <v>0</v>
      </c>
      <c r="L78" s="193"/>
      <c r="M78" s="193"/>
      <c r="N78" s="193">
        <f t="shared" si="10"/>
        <v>4999.83</v>
      </c>
      <c r="O78" s="193">
        <v>4999.83</v>
      </c>
      <c r="P78" s="194">
        <f t="shared" si="11"/>
        <v>0</v>
      </c>
      <c r="Q78" s="193"/>
      <c r="R78" s="193"/>
      <c r="S78" s="193"/>
      <c r="T78" s="193"/>
      <c r="U78" s="193">
        <f t="shared" si="12"/>
        <v>0</v>
      </c>
      <c r="V78" s="193"/>
      <c r="W78" s="193"/>
      <c r="X78" s="193"/>
      <c r="Y78" s="193"/>
      <c r="Z78" s="193"/>
      <c r="AA78" s="193"/>
      <c r="AB78" s="195"/>
      <c r="AC78" s="195"/>
      <c r="AD78" s="195"/>
      <c r="AE78" s="195"/>
    </row>
    <row r="79" spans="1:31" s="155" customFormat="1" ht="96" customHeight="1" x14ac:dyDescent="0.3">
      <c r="A79" s="196" t="s">
        <v>527</v>
      </c>
      <c r="B79" s="201" t="s">
        <v>427</v>
      </c>
      <c r="C79" s="193">
        <f t="shared" si="16"/>
        <v>13156</v>
      </c>
      <c r="D79" s="193"/>
      <c r="E79" s="193">
        <f t="shared" si="17"/>
        <v>13156</v>
      </c>
      <c r="F79" s="193"/>
      <c r="G79" s="193"/>
      <c r="H79" s="193">
        <f>18747+2918+2821+2075+2287-H84-H85-H86</f>
        <v>13156</v>
      </c>
      <c r="I79" s="193"/>
      <c r="J79" s="193"/>
      <c r="K79" s="193">
        <f t="shared" si="15"/>
        <v>0</v>
      </c>
      <c r="L79" s="193"/>
      <c r="M79" s="193"/>
      <c r="N79" s="193">
        <f t="shared" ref="N79:N89" si="18">O79+P79+S79+T79+U79</f>
        <v>8785.579377</v>
      </c>
      <c r="O79" s="193"/>
      <c r="P79" s="194">
        <f t="shared" si="11"/>
        <v>8785.579377</v>
      </c>
      <c r="Q79" s="193"/>
      <c r="R79" s="193">
        <v>8785.579377</v>
      </c>
      <c r="S79" s="193"/>
      <c r="T79" s="193"/>
      <c r="U79" s="193">
        <f t="shared" si="12"/>
        <v>0</v>
      </c>
      <c r="V79" s="193"/>
      <c r="W79" s="193"/>
      <c r="X79" s="193"/>
      <c r="Y79" s="193"/>
      <c r="Z79" s="193"/>
      <c r="AA79" s="193"/>
      <c r="AB79" s="195"/>
      <c r="AC79" s="195"/>
      <c r="AD79" s="195"/>
      <c r="AE79" s="195"/>
    </row>
    <row r="80" spans="1:31" s="155" customFormat="1" ht="24.75" customHeight="1" x14ac:dyDescent="0.3">
      <c r="A80" s="196" t="s">
        <v>528</v>
      </c>
      <c r="B80" s="201" t="s">
        <v>428</v>
      </c>
      <c r="C80" s="193">
        <f t="shared" si="16"/>
        <v>0</v>
      </c>
      <c r="D80" s="193"/>
      <c r="E80" s="193">
        <f t="shared" si="17"/>
        <v>0</v>
      </c>
      <c r="F80" s="193"/>
      <c r="G80" s="193"/>
      <c r="H80" s="193"/>
      <c r="I80" s="193"/>
      <c r="J80" s="193"/>
      <c r="K80" s="193">
        <f t="shared" si="15"/>
        <v>0</v>
      </c>
      <c r="L80" s="193"/>
      <c r="M80" s="193"/>
      <c r="N80" s="193">
        <f t="shared" si="18"/>
        <v>9699.5</v>
      </c>
      <c r="O80" s="193"/>
      <c r="P80" s="194">
        <f t="shared" si="11"/>
        <v>9699.5</v>
      </c>
      <c r="Q80" s="193"/>
      <c r="R80" s="193">
        <v>9699.5</v>
      </c>
      <c r="S80" s="193"/>
      <c r="T80" s="193"/>
      <c r="U80" s="193">
        <f t="shared" si="12"/>
        <v>0</v>
      </c>
      <c r="V80" s="193"/>
      <c r="W80" s="193"/>
      <c r="X80" s="193"/>
      <c r="Y80" s="193"/>
      <c r="Z80" s="193"/>
      <c r="AA80" s="193"/>
      <c r="AB80" s="195"/>
      <c r="AC80" s="195"/>
      <c r="AD80" s="195"/>
      <c r="AE80" s="195"/>
    </row>
    <row r="81" spans="1:31" s="155" customFormat="1" ht="24.75" customHeight="1" x14ac:dyDescent="0.3">
      <c r="A81" s="196" t="s">
        <v>529</v>
      </c>
      <c r="B81" s="201" t="s">
        <v>429</v>
      </c>
      <c r="C81" s="193">
        <f t="shared" si="16"/>
        <v>0</v>
      </c>
      <c r="D81" s="193"/>
      <c r="E81" s="193">
        <f t="shared" si="17"/>
        <v>0</v>
      </c>
      <c r="F81" s="193"/>
      <c r="G81" s="193"/>
      <c r="H81" s="193"/>
      <c r="I81" s="193"/>
      <c r="J81" s="193"/>
      <c r="K81" s="193">
        <f t="shared" si="15"/>
        <v>0</v>
      </c>
      <c r="L81" s="193"/>
      <c r="M81" s="193"/>
      <c r="N81" s="193">
        <f t="shared" si="18"/>
        <v>11048</v>
      </c>
      <c r="O81" s="193"/>
      <c r="P81" s="194">
        <f t="shared" ref="P81:P89" si="19">Q81+R81</f>
        <v>11048</v>
      </c>
      <c r="Q81" s="193"/>
      <c r="R81" s="193">
        <v>11048</v>
      </c>
      <c r="S81" s="193"/>
      <c r="T81" s="193"/>
      <c r="U81" s="193">
        <f t="shared" si="12"/>
        <v>0</v>
      </c>
      <c r="V81" s="193"/>
      <c r="W81" s="193"/>
      <c r="X81" s="193"/>
      <c r="Y81" s="193"/>
      <c r="Z81" s="193"/>
      <c r="AA81" s="193"/>
      <c r="AB81" s="195"/>
      <c r="AC81" s="195"/>
      <c r="AD81" s="195"/>
      <c r="AE81" s="195"/>
    </row>
    <row r="82" spans="1:31" s="155" customFormat="1" ht="24.75" customHeight="1" x14ac:dyDescent="0.3">
      <c r="A82" s="196" t="s">
        <v>530</v>
      </c>
      <c r="B82" s="203" t="s">
        <v>430</v>
      </c>
      <c r="C82" s="193">
        <f t="shared" si="16"/>
        <v>106964</v>
      </c>
      <c r="D82" s="193"/>
      <c r="E82" s="193">
        <f t="shared" si="17"/>
        <v>106964</v>
      </c>
      <c r="F82" s="193"/>
      <c r="G82" s="193"/>
      <c r="H82" s="193">
        <f>83651+11957+4335+7021</f>
        <v>106964</v>
      </c>
      <c r="I82" s="193"/>
      <c r="J82" s="193"/>
      <c r="K82" s="193">
        <f t="shared" si="15"/>
        <v>0</v>
      </c>
      <c r="L82" s="193"/>
      <c r="M82" s="193"/>
      <c r="N82" s="193">
        <f t="shared" si="18"/>
        <v>254023.8</v>
      </c>
      <c r="O82" s="193"/>
      <c r="P82" s="194">
        <f t="shared" si="19"/>
        <v>254023.8</v>
      </c>
      <c r="Q82" s="193"/>
      <c r="R82" s="193">
        <v>254023.8</v>
      </c>
      <c r="S82" s="193"/>
      <c r="T82" s="193"/>
      <c r="U82" s="193">
        <f t="shared" si="12"/>
        <v>0</v>
      </c>
      <c r="V82" s="193"/>
      <c r="W82" s="193"/>
      <c r="X82" s="193"/>
      <c r="Y82" s="193"/>
      <c r="Z82" s="193"/>
      <c r="AA82" s="193"/>
      <c r="AB82" s="195"/>
      <c r="AC82" s="195"/>
      <c r="AD82" s="195"/>
      <c r="AE82" s="195"/>
    </row>
    <row r="83" spans="1:31" s="155" customFormat="1" ht="24.75" customHeight="1" x14ac:dyDescent="0.3">
      <c r="A83" s="196" t="s">
        <v>531</v>
      </c>
      <c r="B83" s="201" t="s">
        <v>431</v>
      </c>
      <c r="C83" s="193">
        <f t="shared" si="16"/>
        <v>1823.807</v>
      </c>
      <c r="D83" s="193">
        <v>1778.807</v>
      </c>
      <c r="E83" s="193">
        <f t="shared" si="17"/>
        <v>45</v>
      </c>
      <c r="F83" s="193"/>
      <c r="G83" s="193"/>
      <c r="H83" s="193">
        <v>45</v>
      </c>
      <c r="I83" s="193"/>
      <c r="J83" s="193"/>
      <c r="K83" s="193">
        <f t="shared" si="15"/>
        <v>0</v>
      </c>
      <c r="L83" s="193"/>
      <c r="M83" s="193"/>
      <c r="N83" s="193">
        <f t="shared" si="18"/>
        <v>1778.807</v>
      </c>
      <c r="O83" s="193">
        <v>1778.807</v>
      </c>
      <c r="P83" s="194">
        <f t="shared" si="19"/>
        <v>0</v>
      </c>
      <c r="Q83" s="193"/>
      <c r="R83" s="193"/>
      <c r="S83" s="193"/>
      <c r="T83" s="193"/>
      <c r="U83" s="193">
        <f t="shared" si="12"/>
        <v>0</v>
      </c>
      <c r="V83" s="193"/>
      <c r="W83" s="193"/>
      <c r="X83" s="193"/>
      <c r="Y83" s="193"/>
      <c r="Z83" s="193"/>
      <c r="AA83" s="193"/>
      <c r="AB83" s="195"/>
      <c r="AC83" s="195">
        <f t="shared" ref="AC83:AC100" si="20">O83/D83%</f>
        <v>100</v>
      </c>
      <c r="AD83" s="195"/>
      <c r="AE83" s="195"/>
    </row>
    <row r="84" spans="1:31" s="155" customFormat="1" ht="24.75" customHeight="1" x14ac:dyDescent="0.3">
      <c r="A84" s="196" t="s">
        <v>532</v>
      </c>
      <c r="B84" s="201" t="s">
        <v>432</v>
      </c>
      <c r="C84" s="193">
        <f t="shared" si="16"/>
        <v>7264</v>
      </c>
      <c r="D84" s="193"/>
      <c r="E84" s="193">
        <f t="shared" si="17"/>
        <v>7264</v>
      </c>
      <c r="F84" s="193"/>
      <c r="G84" s="193"/>
      <c r="H84" s="193">
        <v>7264</v>
      </c>
      <c r="I84" s="193"/>
      <c r="J84" s="193"/>
      <c r="K84" s="193">
        <f t="shared" si="15"/>
        <v>0</v>
      </c>
      <c r="L84" s="193"/>
      <c r="M84" s="193"/>
      <c r="N84" s="193">
        <f t="shared" si="18"/>
        <v>5312.1288409999997</v>
      </c>
      <c r="O84" s="193"/>
      <c r="P84" s="194">
        <f t="shared" si="19"/>
        <v>5312.1288409999997</v>
      </c>
      <c r="Q84" s="193"/>
      <c r="R84" s="193">
        <v>5312.1288409999997</v>
      </c>
      <c r="S84" s="193"/>
      <c r="T84" s="193"/>
      <c r="U84" s="193">
        <f t="shared" si="12"/>
        <v>0</v>
      </c>
      <c r="V84" s="193"/>
      <c r="W84" s="193"/>
      <c r="X84" s="193"/>
      <c r="Y84" s="193"/>
      <c r="Z84" s="193"/>
      <c r="AA84" s="193"/>
      <c r="AB84" s="195"/>
      <c r="AC84" s="195"/>
      <c r="AD84" s="195"/>
      <c r="AE84" s="195"/>
    </row>
    <row r="85" spans="1:31" s="155" customFormat="1" ht="24.75" customHeight="1" x14ac:dyDescent="0.3">
      <c r="A85" s="196" t="s">
        <v>533</v>
      </c>
      <c r="B85" s="201" t="s">
        <v>433</v>
      </c>
      <c r="C85" s="193">
        <f>D85+E85+I85+J85+K85</f>
        <v>5182</v>
      </c>
      <c r="D85" s="193"/>
      <c r="E85" s="193">
        <f>F85+G85+H85</f>
        <v>5182</v>
      </c>
      <c r="F85" s="193"/>
      <c r="G85" s="193"/>
      <c r="H85" s="193">
        <v>5182</v>
      </c>
      <c r="I85" s="193"/>
      <c r="J85" s="193"/>
      <c r="K85" s="193">
        <f>L85+M85</f>
        <v>0</v>
      </c>
      <c r="L85" s="193"/>
      <c r="M85" s="193"/>
      <c r="N85" s="193">
        <f>O85+P85+S85+T85+U85</f>
        <v>4697.3850869999997</v>
      </c>
      <c r="O85" s="193"/>
      <c r="P85" s="194">
        <f>Q85+R85</f>
        <v>4697.3850869999997</v>
      </c>
      <c r="Q85" s="193"/>
      <c r="R85" s="193">
        <v>4697.3850869999997</v>
      </c>
      <c r="S85" s="193"/>
      <c r="T85" s="193"/>
      <c r="U85" s="193">
        <f>V85+W85</f>
        <v>0</v>
      </c>
      <c r="V85" s="193"/>
      <c r="W85" s="193"/>
      <c r="X85" s="193"/>
      <c r="Y85" s="193"/>
      <c r="Z85" s="193"/>
      <c r="AA85" s="193"/>
      <c r="AB85" s="195"/>
      <c r="AC85" s="195"/>
      <c r="AD85" s="195"/>
      <c r="AE85" s="195"/>
    </row>
    <row r="86" spans="1:31" s="155" customFormat="1" ht="24.75" customHeight="1" x14ac:dyDescent="0.3">
      <c r="A86" s="196" t="s">
        <v>534</v>
      </c>
      <c r="B86" s="201" t="s">
        <v>434</v>
      </c>
      <c r="C86" s="193">
        <f>D86+E86+I86+J86+K86</f>
        <v>3246</v>
      </c>
      <c r="D86" s="193"/>
      <c r="E86" s="193">
        <f>F86+G86+H86</f>
        <v>3246</v>
      </c>
      <c r="F86" s="193"/>
      <c r="G86" s="193"/>
      <c r="H86" s="193">
        <v>3246</v>
      </c>
      <c r="I86" s="193"/>
      <c r="J86" s="193"/>
      <c r="K86" s="193">
        <f>L86+M86</f>
        <v>0</v>
      </c>
      <c r="L86" s="193"/>
      <c r="M86" s="193"/>
      <c r="N86" s="193">
        <f>O86+P86+S86+T86+U86</f>
        <v>2488.8309960000001</v>
      </c>
      <c r="O86" s="193"/>
      <c r="P86" s="194">
        <f>Q86+R86</f>
        <v>2488.8309960000001</v>
      </c>
      <c r="Q86" s="193"/>
      <c r="R86" s="193">
        <v>2488.8309960000001</v>
      </c>
      <c r="S86" s="193"/>
      <c r="T86" s="193"/>
      <c r="U86" s="193">
        <f>V86+W86</f>
        <v>0</v>
      </c>
      <c r="V86" s="193"/>
      <c r="W86" s="193"/>
      <c r="X86" s="193"/>
      <c r="Y86" s="193"/>
      <c r="Z86" s="193"/>
      <c r="AA86" s="193"/>
      <c r="AB86" s="195"/>
      <c r="AC86" s="195"/>
      <c r="AD86" s="195"/>
      <c r="AE86" s="195"/>
    </row>
    <row r="87" spans="1:31" s="155" customFormat="1" ht="24.75" customHeight="1" x14ac:dyDescent="0.3">
      <c r="A87" s="196" t="s">
        <v>535</v>
      </c>
      <c r="B87" s="201" t="s">
        <v>435</v>
      </c>
      <c r="C87" s="193">
        <f>D87+E87+I87+J87+K87</f>
        <v>955</v>
      </c>
      <c r="D87" s="193"/>
      <c r="E87" s="193">
        <f>F87+G87+H87</f>
        <v>955</v>
      </c>
      <c r="F87" s="193"/>
      <c r="G87" s="193"/>
      <c r="H87" s="193">
        <v>955</v>
      </c>
      <c r="I87" s="193"/>
      <c r="J87" s="193"/>
      <c r="K87" s="193">
        <f>L87+M87</f>
        <v>0</v>
      </c>
      <c r="L87" s="193"/>
      <c r="M87" s="193"/>
      <c r="N87" s="193">
        <f>O87+P87+S87+T87+U87</f>
        <v>0</v>
      </c>
      <c r="O87" s="193"/>
      <c r="P87" s="194"/>
      <c r="Q87" s="193"/>
      <c r="R87" s="193">
        <v>2489.8309960000001</v>
      </c>
      <c r="S87" s="193"/>
      <c r="T87" s="193"/>
      <c r="U87" s="193">
        <f>V87+W87</f>
        <v>0</v>
      </c>
      <c r="V87" s="193"/>
      <c r="W87" s="193"/>
      <c r="X87" s="193"/>
      <c r="Y87" s="193"/>
      <c r="Z87" s="193"/>
      <c r="AA87" s="193"/>
      <c r="AB87" s="195"/>
      <c r="AC87" s="195"/>
      <c r="AD87" s="195"/>
      <c r="AE87" s="195"/>
    </row>
    <row r="88" spans="1:31" s="155" customFormat="1" ht="49.5" customHeight="1" x14ac:dyDescent="0.3">
      <c r="A88" s="196" t="s">
        <v>536</v>
      </c>
      <c r="B88" s="201" t="s">
        <v>436</v>
      </c>
      <c r="C88" s="193">
        <f>D88+E88+I88+J88+K88</f>
        <v>2623</v>
      </c>
      <c r="D88" s="193"/>
      <c r="E88" s="193">
        <f>F88+G88+H88</f>
        <v>2623</v>
      </c>
      <c r="F88" s="193"/>
      <c r="G88" s="193"/>
      <c r="H88" s="193">
        <f>291+1438+780+114</f>
        <v>2623</v>
      </c>
      <c r="I88" s="193"/>
      <c r="J88" s="193"/>
      <c r="K88" s="193"/>
      <c r="L88" s="193"/>
      <c r="M88" s="193"/>
      <c r="N88" s="193"/>
      <c r="O88" s="193"/>
      <c r="P88" s="194"/>
      <c r="Q88" s="193"/>
      <c r="R88" s="193"/>
      <c r="S88" s="193"/>
      <c r="T88" s="193"/>
      <c r="U88" s="193"/>
      <c r="V88" s="193"/>
      <c r="W88" s="193"/>
      <c r="X88" s="193"/>
      <c r="Y88" s="193"/>
      <c r="Z88" s="193"/>
      <c r="AA88" s="193"/>
      <c r="AB88" s="195"/>
      <c r="AC88" s="195"/>
      <c r="AD88" s="195"/>
      <c r="AE88" s="195"/>
    </row>
    <row r="89" spans="1:31" s="155" customFormat="1" ht="37.5" customHeight="1" x14ac:dyDescent="0.3">
      <c r="A89" s="196" t="s">
        <v>537</v>
      </c>
      <c r="B89" s="201" t="s">
        <v>437</v>
      </c>
      <c r="C89" s="193">
        <f t="shared" si="16"/>
        <v>149330</v>
      </c>
      <c r="D89" s="193"/>
      <c r="E89" s="193">
        <f t="shared" si="17"/>
        <v>149330</v>
      </c>
      <c r="F89" s="193"/>
      <c r="G89" s="193">
        <v>149330</v>
      </c>
      <c r="H89" s="193"/>
      <c r="I89" s="193"/>
      <c r="J89" s="193"/>
      <c r="K89" s="193">
        <f t="shared" si="15"/>
        <v>0</v>
      </c>
      <c r="L89" s="193"/>
      <c r="M89" s="193"/>
      <c r="N89" s="193">
        <f t="shared" si="18"/>
        <v>15431.826800000001</v>
      </c>
      <c r="O89" s="193"/>
      <c r="P89" s="194">
        <f t="shared" si="19"/>
        <v>15431.826800000001</v>
      </c>
      <c r="Q89" s="193">
        <f>15287.8268+144</f>
        <v>15431.826800000001</v>
      </c>
      <c r="R89" s="193"/>
      <c r="S89" s="193"/>
      <c r="T89" s="193"/>
      <c r="U89" s="193">
        <f t="shared" si="12"/>
        <v>0</v>
      </c>
      <c r="V89" s="193"/>
      <c r="W89" s="193"/>
      <c r="X89" s="193"/>
      <c r="Y89" s="193"/>
      <c r="Z89" s="193"/>
      <c r="AA89" s="193"/>
      <c r="AB89" s="195"/>
      <c r="AC89" s="195"/>
      <c r="AD89" s="195"/>
      <c r="AE89" s="195"/>
    </row>
    <row r="90" spans="1:31" s="151" customFormat="1" ht="58.5" customHeight="1" x14ac:dyDescent="0.3">
      <c r="A90" s="205" t="s">
        <v>438</v>
      </c>
      <c r="B90" s="206" t="s">
        <v>439</v>
      </c>
      <c r="C90" s="187">
        <f t="shared" si="16"/>
        <v>270875.52499999997</v>
      </c>
      <c r="D90" s="187">
        <f>SUM(D91:D101)</f>
        <v>127359.52499999998</v>
      </c>
      <c r="E90" s="187">
        <f>SUM(E91:E100)</f>
        <v>0</v>
      </c>
      <c r="F90" s="187"/>
      <c r="G90" s="187"/>
      <c r="H90" s="187"/>
      <c r="I90" s="187">
        <f>SUM(I91:I100)</f>
        <v>0</v>
      </c>
      <c r="J90" s="187">
        <f>SUM(J91:J100)</f>
        <v>0</v>
      </c>
      <c r="K90" s="187">
        <f t="shared" si="15"/>
        <v>143516</v>
      </c>
      <c r="L90" s="187">
        <f>SUM(L91:L101)</f>
        <v>143516</v>
      </c>
      <c r="M90" s="187">
        <f>SUM(M91:M100)</f>
        <v>0</v>
      </c>
      <c r="N90" s="187">
        <f>O90+P90+S90+T90+U90</f>
        <v>293315.328546</v>
      </c>
      <c r="O90" s="187">
        <f>SUM(O91:O101)</f>
        <v>139320.25277600001</v>
      </c>
      <c r="P90" s="187"/>
      <c r="Q90" s="187"/>
      <c r="R90" s="187"/>
      <c r="S90" s="187"/>
      <c r="T90" s="187"/>
      <c r="U90" s="187">
        <f>SUM(U91:U100)</f>
        <v>153995.07577</v>
      </c>
      <c r="V90" s="187">
        <f>SUM(V91:V101)</f>
        <v>153995.07577</v>
      </c>
      <c r="W90" s="187"/>
      <c r="X90" s="187">
        <f>SUM(X91:X101)</f>
        <v>0</v>
      </c>
      <c r="Y90" s="187">
        <f>SUM(Y91:Y101)</f>
        <v>0</v>
      </c>
      <c r="Z90" s="187">
        <f>SUM(Z91:Z101)</f>
        <v>0</v>
      </c>
      <c r="AA90" s="187"/>
      <c r="AB90" s="195"/>
      <c r="AC90" s="195">
        <f t="shared" si="20"/>
        <v>109.39130997544159</v>
      </c>
      <c r="AD90" s="195"/>
      <c r="AE90" s="195">
        <f t="shared" ref="AE90:AE101" si="21">U90/K90%</f>
        <v>107.30167770144095</v>
      </c>
    </row>
    <row r="91" spans="1:31" s="155" customFormat="1" x14ac:dyDescent="0.3">
      <c r="A91" s="207" t="s">
        <v>321</v>
      </c>
      <c r="B91" s="208" t="s">
        <v>440</v>
      </c>
      <c r="C91" s="193">
        <f t="shared" si="16"/>
        <v>5462.6959999999999</v>
      </c>
      <c r="D91" s="194">
        <v>5462.6959999999999</v>
      </c>
      <c r="E91" s="194"/>
      <c r="F91" s="194"/>
      <c r="G91" s="194"/>
      <c r="H91" s="194"/>
      <c r="I91" s="194"/>
      <c r="J91" s="194"/>
      <c r="K91" s="193">
        <f t="shared" si="15"/>
        <v>0</v>
      </c>
      <c r="L91" s="194"/>
      <c r="M91" s="194"/>
      <c r="N91" s="193">
        <f t="shared" ref="N91:N98" si="22">O91+P91+S91+T91+U91</f>
        <v>6088.7690000000011</v>
      </c>
      <c r="O91" s="194">
        <v>6088.7690000000011</v>
      </c>
      <c r="P91" s="194"/>
      <c r="Q91" s="194"/>
      <c r="R91" s="194"/>
      <c r="S91" s="194"/>
      <c r="T91" s="194"/>
      <c r="U91" s="193">
        <f t="shared" ref="U91:U100" si="23">V91+W91</f>
        <v>0</v>
      </c>
      <c r="V91" s="194"/>
      <c r="W91" s="194"/>
      <c r="X91" s="193">
        <f t="shared" ref="X91:X100" si="24">Y91+Z91</f>
        <v>0</v>
      </c>
      <c r="Y91" s="193"/>
      <c r="Z91" s="193"/>
      <c r="AA91" s="193"/>
      <c r="AB91" s="195"/>
      <c r="AC91" s="195">
        <f t="shared" si="20"/>
        <v>111.46087938995693</v>
      </c>
      <c r="AD91" s="195"/>
      <c r="AE91" s="195"/>
    </row>
    <row r="92" spans="1:31" s="155" customFormat="1" x14ac:dyDescent="0.3">
      <c r="A92" s="207" t="s">
        <v>323</v>
      </c>
      <c r="B92" s="208" t="s">
        <v>441</v>
      </c>
      <c r="C92" s="193">
        <f t="shared" si="16"/>
        <v>9351.8590000000004</v>
      </c>
      <c r="D92" s="194">
        <v>9351.8590000000004</v>
      </c>
      <c r="E92" s="194"/>
      <c r="F92" s="194"/>
      <c r="G92" s="194"/>
      <c r="H92" s="194"/>
      <c r="I92" s="194"/>
      <c r="J92" s="194"/>
      <c r="K92" s="193">
        <f t="shared" si="15"/>
        <v>0</v>
      </c>
      <c r="L92" s="194"/>
      <c r="M92" s="194"/>
      <c r="N92" s="193">
        <f t="shared" si="22"/>
        <v>9824.7289999999994</v>
      </c>
      <c r="O92" s="194">
        <v>9824.7289999999994</v>
      </c>
      <c r="P92" s="194"/>
      <c r="Q92" s="194"/>
      <c r="R92" s="194"/>
      <c r="S92" s="194"/>
      <c r="T92" s="194"/>
      <c r="U92" s="193">
        <f t="shared" si="23"/>
        <v>0</v>
      </c>
      <c r="V92" s="194"/>
      <c r="W92" s="194"/>
      <c r="X92" s="193">
        <f t="shared" si="24"/>
        <v>0</v>
      </c>
      <c r="Y92" s="193"/>
      <c r="Z92" s="193"/>
      <c r="AA92" s="193"/>
      <c r="AB92" s="195"/>
      <c r="AC92" s="195">
        <f t="shared" si="20"/>
        <v>105.05642781825516</v>
      </c>
      <c r="AD92" s="195"/>
      <c r="AE92" s="195"/>
    </row>
    <row r="93" spans="1:31" s="155" customFormat="1" x14ac:dyDescent="0.3">
      <c r="A93" s="207" t="s">
        <v>325</v>
      </c>
      <c r="B93" s="208" t="s">
        <v>442</v>
      </c>
      <c r="C93" s="193">
        <f t="shared" si="16"/>
        <v>37884.425000000003</v>
      </c>
      <c r="D93" s="194">
        <v>17306.424999999999</v>
      </c>
      <c r="E93" s="194"/>
      <c r="F93" s="194"/>
      <c r="G93" s="194"/>
      <c r="H93" s="194"/>
      <c r="I93" s="194"/>
      <c r="J93" s="194"/>
      <c r="K93" s="193">
        <f t="shared" si="15"/>
        <v>20578</v>
      </c>
      <c r="L93" s="194">
        <v>20578</v>
      </c>
      <c r="M93" s="194"/>
      <c r="N93" s="193">
        <f t="shared" si="22"/>
        <v>51013.229999999996</v>
      </c>
      <c r="O93" s="194">
        <v>21764.837</v>
      </c>
      <c r="P93" s="194"/>
      <c r="Q93" s="194"/>
      <c r="R93" s="194"/>
      <c r="S93" s="194"/>
      <c r="T93" s="194"/>
      <c r="U93" s="193">
        <f t="shared" si="23"/>
        <v>29248.393</v>
      </c>
      <c r="V93" s="194">
        <v>29248.393</v>
      </c>
      <c r="W93" s="194"/>
      <c r="X93" s="193">
        <f t="shared" si="24"/>
        <v>0</v>
      </c>
      <c r="Y93" s="193"/>
      <c r="Z93" s="193"/>
      <c r="AA93" s="193"/>
      <c r="AB93" s="195"/>
      <c r="AC93" s="195">
        <f t="shared" si="20"/>
        <v>125.76160009938506</v>
      </c>
      <c r="AD93" s="195"/>
      <c r="AE93" s="195">
        <f t="shared" si="21"/>
        <v>142.13428418699581</v>
      </c>
    </row>
    <row r="94" spans="1:31" s="155" customFormat="1" x14ac:dyDescent="0.3">
      <c r="A94" s="207" t="s">
        <v>327</v>
      </c>
      <c r="B94" s="208" t="s">
        <v>443</v>
      </c>
      <c r="C94" s="193">
        <f t="shared" si="16"/>
        <v>40305.055999999997</v>
      </c>
      <c r="D94" s="194">
        <v>25905.055999999997</v>
      </c>
      <c r="E94" s="194"/>
      <c r="F94" s="194"/>
      <c r="G94" s="194"/>
      <c r="H94" s="194"/>
      <c r="I94" s="194"/>
      <c r="J94" s="194"/>
      <c r="K94" s="193">
        <f t="shared" si="15"/>
        <v>14400</v>
      </c>
      <c r="L94" s="194">
        <v>14400</v>
      </c>
      <c r="M94" s="194"/>
      <c r="N94" s="193">
        <f t="shared" si="22"/>
        <v>50593.817999999999</v>
      </c>
      <c r="O94" s="194">
        <v>36193.817999999999</v>
      </c>
      <c r="P94" s="194"/>
      <c r="Q94" s="194"/>
      <c r="R94" s="194"/>
      <c r="S94" s="194"/>
      <c r="T94" s="194"/>
      <c r="U94" s="193">
        <f t="shared" si="23"/>
        <v>14400</v>
      </c>
      <c r="V94" s="194">
        <v>14400</v>
      </c>
      <c r="W94" s="194"/>
      <c r="X94" s="193">
        <f t="shared" si="24"/>
        <v>0</v>
      </c>
      <c r="Y94" s="193"/>
      <c r="Z94" s="193"/>
      <c r="AA94" s="193"/>
      <c r="AB94" s="195"/>
      <c r="AC94" s="195">
        <f t="shared" si="20"/>
        <v>139.71719651947484</v>
      </c>
      <c r="AD94" s="195"/>
      <c r="AE94" s="195">
        <f t="shared" si="21"/>
        <v>100</v>
      </c>
    </row>
    <row r="95" spans="1:31" s="155" customFormat="1" x14ac:dyDescent="0.3">
      <c r="A95" s="207" t="s">
        <v>329</v>
      </c>
      <c r="B95" s="208" t="s">
        <v>444</v>
      </c>
      <c r="C95" s="193">
        <f t="shared" si="16"/>
        <v>1074</v>
      </c>
      <c r="D95" s="194">
        <v>1074</v>
      </c>
      <c r="E95" s="194"/>
      <c r="F95" s="194"/>
      <c r="G95" s="194"/>
      <c r="H95" s="194"/>
      <c r="I95" s="194"/>
      <c r="J95" s="194"/>
      <c r="K95" s="193">
        <f t="shared" si="15"/>
        <v>0</v>
      </c>
      <c r="L95" s="194"/>
      <c r="M95" s="194"/>
      <c r="N95" s="193">
        <f t="shared" si="22"/>
        <v>1235.3954999999999</v>
      </c>
      <c r="O95" s="194">
        <v>1235.3954999999999</v>
      </c>
      <c r="P95" s="194"/>
      <c r="Q95" s="194"/>
      <c r="R95" s="194"/>
      <c r="S95" s="194"/>
      <c r="T95" s="194"/>
      <c r="U95" s="193">
        <f t="shared" si="23"/>
        <v>0</v>
      </c>
      <c r="V95" s="194"/>
      <c r="W95" s="194"/>
      <c r="X95" s="193">
        <f t="shared" si="24"/>
        <v>0</v>
      </c>
      <c r="Y95" s="193"/>
      <c r="Z95" s="193"/>
      <c r="AA95" s="193"/>
      <c r="AB95" s="195"/>
      <c r="AC95" s="195">
        <f t="shared" si="20"/>
        <v>115.02751396648043</v>
      </c>
      <c r="AD95" s="195"/>
      <c r="AE95" s="195"/>
    </row>
    <row r="96" spans="1:31" s="155" customFormat="1" x14ac:dyDescent="0.3">
      <c r="A96" s="207" t="s">
        <v>331</v>
      </c>
      <c r="B96" s="208" t="s">
        <v>445</v>
      </c>
      <c r="C96" s="193">
        <f t="shared" si="16"/>
        <v>26707.451000000001</v>
      </c>
      <c r="D96" s="194">
        <v>12866.9</v>
      </c>
      <c r="E96" s="194"/>
      <c r="F96" s="194"/>
      <c r="G96" s="194"/>
      <c r="H96" s="194"/>
      <c r="I96" s="194"/>
      <c r="J96" s="194"/>
      <c r="K96" s="193">
        <f t="shared" si="15"/>
        <v>13840.550999999999</v>
      </c>
      <c r="L96" s="194">
        <v>13840.550999999999</v>
      </c>
      <c r="M96" s="194"/>
      <c r="N96" s="193">
        <f t="shared" si="22"/>
        <v>23269.449820999998</v>
      </c>
      <c r="O96" s="194">
        <v>9428.8988209999989</v>
      </c>
      <c r="P96" s="194"/>
      <c r="Q96" s="194"/>
      <c r="R96" s="194"/>
      <c r="S96" s="194"/>
      <c r="T96" s="194"/>
      <c r="U96" s="193">
        <f t="shared" si="23"/>
        <v>13840.550999999999</v>
      </c>
      <c r="V96" s="194">
        <v>13840.550999999999</v>
      </c>
      <c r="W96" s="194"/>
      <c r="X96" s="193">
        <f t="shared" si="24"/>
        <v>0</v>
      </c>
      <c r="Y96" s="193"/>
      <c r="Z96" s="193"/>
      <c r="AA96" s="193"/>
      <c r="AB96" s="195"/>
      <c r="AC96" s="195">
        <f t="shared" si="20"/>
        <v>73.280268137624446</v>
      </c>
      <c r="AD96" s="195"/>
      <c r="AE96" s="195">
        <f t="shared" si="21"/>
        <v>100</v>
      </c>
    </row>
    <row r="97" spans="1:38" s="155" customFormat="1" x14ac:dyDescent="0.3">
      <c r="A97" s="207" t="s">
        <v>333</v>
      </c>
      <c r="B97" s="208" t="s">
        <v>446</v>
      </c>
      <c r="C97" s="193">
        <f t="shared" si="16"/>
        <v>65926</v>
      </c>
      <c r="D97" s="194">
        <v>28849</v>
      </c>
      <c r="E97" s="194"/>
      <c r="F97" s="194"/>
      <c r="G97" s="194"/>
      <c r="H97" s="194"/>
      <c r="I97" s="194"/>
      <c r="J97" s="194"/>
      <c r="K97" s="193">
        <f t="shared" si="15"/>
        <v>37077</v>
      </c>
      <c r="L97" s="194">
        <v>37077</v>
      </c>
      <c r="M97" s="194"/>
      <c r="N97" s="193">
        <f t="shared" si="22"/>
        <v>73786.628955000007</v>
      </c>
      <c r="O97" s="194">
        <v>26533.030185</v>
      </c>
      <c r="P97" s="194"/>
      <c r="Q97" s="194"/>
      <c r="R97" s="194"/>
      <c r="S97" s="194"/>
      <c r="T97" s="194"/>
      <c r="U97" s="193">
        <f t="shared" si="23"/>
        <v>47253.598770000004</v>
      </c>
      <c r="V97" s="194">
        <v>47253.598770000004</v>
      </c>
      <c r="W97" s="194"/>
      <c r="X97" s="193">
        <f t="shared" si="24"/>
        <v>0</v>
      </c>
      <c r="Y97" s="193"/>
      <c r="Z97" s="193"/>
      <c r="AA97" s="193"/>
      <c r="AB97" s="195"/>
      <c r="AC97" s="195">
        <f t="shared" si="20"/>
        <v>91.97209672778952</v>
      </c>
      <c r="AD97" s="195"/>
      <c r="AE97" s="195">
        <f t="shared" si="21"/>
        <v>127.44720114896029</v>
      </c>
      <c r="AI97" s="151"/>
      <c r="AJ97" s="151"/>
      <c r="AK97" s="151"/>
      <c r="AL97" s="151"/>
    </row>
    <row r="98" spans="1:38" s="155" customFormat="1" x14ac:dyDescent="0.3">
      <c r="A98" s="207" t="s">
        <v>335</v>
      </c>
      <c r="B98" s="208" t="s">
        <v>447</v>
      </c>
      <c r="C98" s="193">
        <f t="shared" si="16"/>
        <v>25997.929</v>
      </c>
      <c r="D98" s="194">
        <v>13494.48</v>
      </c>
      <c r="E98" s="194"/>
      <c r="F98" s="194"/>
      <c r="G98" s="194"/>
      <c r="H98" s="194"/>
      <c r="I98" s="194"/>
      <c r="J98" s="194"/>
      <c r="K98" s="193">
        <f t="shared" si="15"/>
        <v>12503.449000000001</v>
      </c>
      <c r="L98" s="194">
        <v>12503.449000000001</v>
      </c>
      <c r="M98" s="194"/>
      <c r="N98" s="193">
        <f t="shared" si="22"/>
        <v>25200.744999999999</v>
      </c>
      <c r="O98" s="194">
        <v>12697.295999999998</v>
      </c>
      <c r="P98" s="194"/>
      <c r="Q98" s="194"/>
      <c r="R98" s="194"/>
      <c r="S98" s="194"/>
      <c r="T98" s="194"/>
      <c r="U98" s="193">
        <f t="shared" si="23"/>
        <v>12503.449000000001</v>
      </c>
      <c r="V98" s="194">
        <v>12503.449000000001</v>
      </c>
      <c r="W98" s="194"/>
      <c r="X98" s="193">
        <f t="shared" si="24"/>
        <v>0</v>
      </c>
      <c r="Y98" s="193"/>
      <c r="Z98" s="193"/>
      <c r="AA98" s="193"/>
      <c r="AB98" s="195"/>
      <c r="AC98" s="195">
        <f t="shared" si="20"/>
        <v>94.092517829512516</v>
      </c>
      <c r="AD98" s="195"/>
      <c r="AE98" s="195">
        <f t="shared" si="21"/>
        <v>100</v>
      </c>
      <c r="AI98" s="151"/>
      <c r="AJ98" s="151"/>
      <c r="AK98" s="151"/>
      <c r="AL98" s="151"/>
    </row>
    <row r="99" spans="1:38" s="155" customFormat="1" x14ac:dyDescent="0.3">
      <c r="A99" s="207" t="s">
        <v>337</v>
      </c>
      <c r="B99" s="208" t="s">
        <v>448</v>
      </c>
      <c r="C99" s="193">
        <f>D99+E99+I99+J99+K99</f>
        <v>53937</v>
      </c>
      <c r="D99" s="194">
        <v>12000</v>
      </c>
      <c r="E99" s="194"/>
      <c r="F99" s="194"/>
      <c r="G99" s="194"/>
      <c r="H99" s="194"/>
      <c r="I99" s="194"/>
      <c r="J99" s="194"/>
      <c r="K99" s="193">
        <f t="shared" si="15"/>
        <v>41937</v>
      </c>
      <c r="L99" s="194">
        <v>41937</v>
      </c>
      <c r="M99" s="194"/>
      <c r="N99" s="193">
        <f>O99+P99+S99+T99+U99+X99</f>
        <v>48348.616999999998</v>
      </c>
      <c r="O99" s="194">
        <v>11599.532999999999</v>
      </c>
      <c r="P99" s="194"/>
      <c r="Q99" s="194"/>
      <c r="R99" s="194"/>
      <c r="S99" s="194"/>
      <c r="T99" s="194"/>
      <c r="U99" s="193">
        <f t="shared" si="23"/>
        <v>36749.083999999995</v>
      </c>
      <c r="V99" s="194">
        <v>36749.083999999995</v>
      </c>
      <c r="W99" s="194"/>
      <c r="X99" s="193">
        <f t="shared" si="24"/>
        <v>0</v>
      </c>
      <c r="Y99" s="193"/>
      <c r="Z99" s="193"/>
      <c r="AA99" s="193"/>
      <c r="AB99" s="195"/>
      <c r="AC99" s="195">
        <f t="shared" si="20"/>
        <v>96.662774999999996</v>
      </c>
      <c r="AD99" s="195"/>
      <c r="AE99" s="195">
        <f t="shared" si="21"/>
        <v>87.629262942032085</v>
      </c>
      <c r="AI99" s="151"/>
      <c r="AJ99" s="151"/>
      <c r="AK99" s="151"/>
      <c r="AL99" s="151"/>
    </row>
    <row r="100" spans="1:38" s="155" customFormat="1" x14ac:dyDescent="0.3">
      <c r="A100" s="207" t="s">
        <v>339</v>
      </c>
      <c r="B100" s="208" t="s">
        <v>449</v>
      </c>
      <c r="C100" s="193">
        <f t="shared" si="16"/>
        <v>1049.1089999999999</v>
      </c>
      <c r="D100" s="194">
        <v>1049.1089999999999</v>
      </c>
      <c r="E100" s="194"/>
      <c r="F100" s="194"/>
      <c r="G100" s="194"/>
      <c r="H100" s="194"/>
      <c r="I100" s="194"/>
      <c r="J100" s="194"/>
      <c r="K100" s="193">
        <f t="shared" si="15"/>
        <v>0</v>
      </c>
      <c r="L100" s="194"/>
      <c r="M100" s="194"/>
      <c r="N100" s="193">
        <f>O100+P100+S100+T100+U100+X100</f>
        <v>3953.9462700000099</v>
      </c>
      <c r="O100" s="194">
        <v>3953.9462700000099</v>
      </c>
      <c r="P100" s="194"/>
      <c r="Q100" s="194"/>
      <c r="R100" s="194"/>
      <c r="S100" s="194"/>
      <c r="T100" s="194"/>
      <c r="U100" s="193">
        <f t="shared" si="23"/>
        <v>0</v>
      </c>
      <c r="V100" s="194"/>
      <c r="W100" s="194"/>
      <c r="X100" s="193">
        <f t="shared" si="24"/>
        <v>0</v>
      </c>
      <c r="Y100" s="193"/>
      <c r="Z100" s="193"/>
      <c r="AA100" s="193"/>
      <c r="AB100" s="195"/>
      <c r="AC100" s="195">
        <f t="shared" si="20"/>
        <v>376.88612622711366</v>
      </c>
      <c r="AD100" s="195"/>
      <c r="AE100" s="195"/>
      <c r="AI100" s="151"/>
      <c r="AJ100" s="151"/>
      <c r="AK100" s="151"/>
      <c r="AL100" s="151"/>
    </row>
    <row r="101" spans="1:38" s="155" customFormat="1" x14ac:dyDescent="0.3">
      <c r="A101" s="207" t="s">
        <v>341</v>
      </c>
      <c r="B101" s="208" t="s">
        <v>450</v>
      </c>
      <c r="C101" s="193">
        <f t="shared" si="16"/>
        <v>3180</v>
      </c>
      <c r="D101" s="194"/>
      <c r="E101" s="194"/>
      <c r="F101" s="194"/>
      <c r="G101" s="194"/>
      <c r="H101" s="194"/>
      <c r="I101" s="194"/>
      <c r="J101" s="194"/>
      <c r="K101" s="193">
        <f t="shared" si="15"/>
        <v>3180</v>
      </c>
      <c r="L101" s="194">
        <v>3180</v>
      </c>
      <c r="M101" s="194"/>
      <c r="N101" s="193"/>
      <c r="O101" s="194"/>
      <c r="P101" s="194"/>
      <c r="Q101" s="194"/>
      <c r="R101" s="194"/>
      <c r="S101" s="194"/>
      <c r="T101" s="194"/>
      <c r="U101" s="193"/>
      <c r="V101" s="194"/>
      <c r="W101" s="194"/>
      <c r="X101" s="193"/>
      <c r="Y101" s="193"/>
      <c r="Z101" s="193"/>
      <c r="AA101" s="193"/>
      <c r="AB101" s="195"/>
      <c r="AC101" s="195"/>
      <c r="AD101" s="195"/>
      <c r="AE101" s="195">
        <f t="shared" si="21"/>
        <v>0</v>
      </c>
      <c r="AI101" s="151"/>
      <c r="AJ101" s="151"/>
      <c r="AK101" s="151"/>
      <c r="AL101" s="151"/>
    </row>
    <row r="102" spans="1:38" s="151" customFormat="1" x14ac:dyDescent="0.3">
      <c r="A102" s="205" t="s">
        <v>27</v>
      </c>
      <c r="B102" s="209" t="s">
        <v>451</v>
      </c>
      <c r="C102" s="187">
        <f t="shared" si="16"/>
        <v>131708</v>
      </c>
      <c r="D102" s="210"/>
      <c r="E102" s="210">
        <f>E103+E104+E105+E106+E108+E107+E109</f>
        <v>131708</v>
      </c>
      <c r="F102" s="210">
        <f>F103+F104+F105+F106+F108+F107+F109</f>
        <v>131708</v>
      </c>
      <c r="G102" s="210"/>
      <c r="H102" s="210"/>
      <c r="I102" s="210"/>
      <c r="J102" s="210"/>
      <c r="K102" s="187"/>
      <c r="L102" s="210"/>
      <c r="M102" s="210"/>
      <c r="N102" s="187"/>
      <c r="O102" s="210"/>
      <c r="P102" s="210"/>
      <c r="Q102" s="210"/>
      <c r="R102" s="210"/>
      <c r="S102" s="210"/>
      <c r="T102" s="210"/>
      <c r="U102" s="187"/>
      <c r="V102" s="210"/>
      <c r="W102" s="210"/>
      <c r="X102" s="187"/>
      <c r="Y102" s="187"/>
      <c r="Z102" s="187"/>
      <c r="AA102" s="187"/>
      <c r="AB102" s="195">
        <f t="shared" ref="AB102:AB109" si="25">N102/C102%</f>
        <v>0</v>
      </c>
      <c r="AC102" s="195"/>
      <c r="AD102" s="195">
        <f t="shared" ref="AD102:AD109" si="26">P102/E102%</f>
        <v>0</v>
      </c>
      <c r="AE102" s="195"/>
    </row>
    <row r="103" spans="1:38" s="151" customFormat="1" x14ac:dyDescent="0.3">
      <c r="A103" s="207" t="s">
        <v>321</v>
      </c>
      <c r="B103" s="208" t="s">
        <v>452</v>
      </c>
      <c r="C103" s="193">
        <f t="shared" si="16"/>
        <v>7500</v>
      </c>
      <c r="D103" s="194"/>
      <c r="E103" s="194">
        <f>F103+G103+H103</f>
        <v>7500</v>
      </c>
      <c r="F103" s="194">
        <v>7500</v>
      </c>
      <c r="G103" s="210"/>
      <c r="H103" s="210"/>
      <c r="I103" s="210"/>
      <c r="J103" s="210"/>
      <c r="K103" s="187"/>
      <c r="L103" s="210"/>
      <c r="M103" s="210"/>
      <c r="N103" s="187"/>
      <c r="O103" s="210"/>
      <c r="P103" s="210"/>
      <c r="Q103" s="210"/>
      <c r="R103" s="210"/>
      <c r="S103" s="210"/>
      <c r="T103" s="210"/>
      <c r="U103" s="187"/>
      <c r="V103" s="210"/>
      <c r="W103" s="210"/>
      <c r="X103" s="187"/>
      <c r="Y103" s="187"/>
      <c r="Z103" s="187"/>
      <c r="AA103" s="187"/>
      <c r="AB103" s="195">
        <f t="shared" si="25"/>
        <v>0</v>
      </c>
      <c r="AC103" s="195"/>
      <c r="AD103" s="195">
        <f t="shared" si="26"/>
        <v>0</v>
      </c>
      <c r="AE103" s="195"/>
    </row>
    <row r="104" spans="1:38" s="151" customFormat="1" ht="31.2" x14ac:dyDescent="0.3">
      <c r="A104" s="207" t="s">
        <v>323</v>
      </c>
      <c r="B104" s="208" t="s">
        <v>453</v>
      </c>
      <c r="C104" s="193">
        <f t="shared" si="16"/>
        <v>12545</v>
      </c>
      <c r="D104" s="194"/>
      <c r="E104" s="194">
        <f t="shared" ref="E104:E109" si="27">F104+G104+H104</f>
        <v>12545</v>
      </c>
      <c r="F104" s="194">
        <v>12545</v>
      </c>
      <c r="G104" s="210"/>
      <c r="H104" s="210"/>
      <c r="I104" s="210"/>
      <c r="J104" s="210"/>
      <c r="K104" s="187"/>
      <c r="L104" s="210"/>
      <c r="M104" s="210"/>
      <c r="N104" s="187"/>
      <c r="O104" s="210"/>
      <c r="P104" s="210"/>
      <c r="Q104" s="210"/>
      <c r="R104" s="210"/>
      <c r="S104" s="210"/>
      <c r="T104" s="210"/>
      <c r="U104" s="187"/>
      <c r="V104" s="210"/>
      <c r="W104" s="210"/>
      <c r="X104" s="187"/>
      <c r="Y104" s="187"/>
      <c r="Z104" s="187"/>
      <c r="AA104" s="187"/>
      <c r="AB104" s="195">
        <f t="shared" si="25"/>
        <v>0</v>
      </c>
      <c r="AC104" s="195"/>
      <c r="AD104" s="195">
        <f t="shared" si="26"/>
        <v>0</v>
      </c>
      <c r="AE104" s="195"/>
    </row>
    <row r="105" spans="1:38" s="151" customFormat="1" x14ac:dyDescent="0.3">
      <c r="A105" s="207" t="s">
        <v>325</v>
      </c>
      <c r="B105" s="208" t="s">
        <v>454</v>
      </c>
      <c r="C105" s="193">
        <f t="shared" si="16"/>
        <v>6000</v>
      </c>
      <c r="D105" s="194"/>
      <c r="E105" s="194">
        <f t="shared" si="27"/>
        <v>6000</v>
      </c>
      <c r="F105" s="194">
        <v>6000</v>
      </c>
      <c r="G105" s="210"/>
      <c r="H105" s="210"/>
      <c r="I105" s="210"/>
      <c r="J105" s="210"/>
      <c r="K105" s="187"/>
      <c r="L105" s="210"/>
      <c r="M105" s="210"/>
      <c r="N105" s="187"/>
      <c r="O105" s="210"/>
      <c r="P105" s="210"/>
      <c r="Q105" s="210"/>
      <c r="R105" s="210"/>
      <c r="S105" s="210"/>
      <c r="T105" s="210"/>
      <c r="U105" s="187"/>
      <c r="V105" s="210"/>
      <c r="W105" s="210"/>
      <c r="X105" s="187"/>
      <c r="Y105" s="187"/>
      <c r="Z105" s="187"/>
      <c r="AA105" s="187"/>
      <c r="AB105" s="195">
        <f t="shared" si="25"/>
        <v>0</v>
      </c>
      <c r="AC105" s="195"/>
      <c r="AD105" s="195">
        <f t="shared" si="26"/>
        <v>0</v>
      </c>
      <c r="AE105" s="195"/>
    </row>
    <row r="106" spans="1:38" s="151" customFormat="1" x14ac:dyDescent="0.3">
      <c r="A106" s="207" t="s">
        <v>327</v>
      </c>
      <c r="B106" s="208" t="s">
        <v>455</v>
      </c>
      <c r="C106" s="193">
        <f t="shared" si="16"/>
        <v>10000</v>
      </c>
      <c r="D106" s="194"/>
      <c r="E106" s="194">
        <f t="shared" si="27"/>
        <v>10000</v>
      </c>
      <c r="F106" s="194">
        <v>10000</v>
      </c>
      <c r="G106" s="210"/>
      <c r="H106" s="210"/>
      <c r="I106" s="210"/>
      <c r="J106" s="210"/>
      <c r="K106" s="187"/>
      <c r="L106" s="210"/>
      <c r="M106" s="210"/>
      <c r="N106" s="187"/>
      <c r="O106" s="210"/>
      <c r="P106" s="210"/>
      <c r="Q106" s="210"/>
      <c r="R106" s="210"/>
      <c r="S106" s="210"/>
      <c r="T106" s="210"/>
      <c r="U106" s="187"/>
      <c r="V106" s="210"/>
      <c r="W106" s="210"/>
      <c r="X106" s="187"/>
      <c r="Y106" s="187"/>
      <c r="Z106" s="187"/>
      <c r="AA106" s="187"/>
      <c r="AB106" s="195">
        <f t="shared" si="25"/>
        <v>0</v>
      </c>
      <c r="AC106" s="195"/>
      <c r="AD106" s="195">
        <f t="shared" si="26"/>
        <v>0</v>
      </c>
      <c r="AE106" s="195"/>
    </row>
    <row r="107" spans="1:38" s="151" customFormat="1" x14ac:dyDescent="0.3">
      <c r="A107" s="207" t="s">
        <v>329</v>
      </c>
      <c r="B107" s="208" t="s">
        <v>456</v>
      </c>
      <c r="C107" s="193">
        <f t="shared" si="16"/>
        <v>15000</v>
      </c>
      <c r="D107" s="194"/>
      <c r="E107" s="194">
        <f t="shared" si="27"/>
        <v>15000</v>
      </c>
      <c r="F107" s="194">
        <v>15000</v>
      </c>
      <c r="G107" s="210"/>
      <c r="H107" s="210"/>
      <c r="I107" s="210"/>
      <c r="J107" s="210"/>
      <c r="K107" s="187"/>
      <c r="L107" s="210"/>
      <c r="M107" s="210"/>
      <c r="N107" s="187"/>
      <c r="O107" s="210"/>
      <c r="P107" s="210"/>
      <c r="Q107" s="210"/>
      <c r="R107" s="210"/>
      <c r="S107" s="210"/>
      <c r="T107" s="210"/>
      <c r="U107" s="187"/>
      <c r="V107" s="210"/>
      <c r="W107" s="210"/>
      <c r="X107" s="187"/>
      <c r="Y107" s="187"/>
      <c r="Z107" s="187"/>
      <c r="AA107" s="187"/>
      <c r="AB107" s="195">
        <f t="shared" si="25"/>
        <v>0</v>
      </c>
      <c r="AC107" s="195"/>
      <c r="AD107" s="195">
        <f t="shared" si="26"/>
        <v>0</v>
      </c>
      <c r="AE107" s="195"/>
    </row>
    <row r="108" spans="1:38" s="151" customFormat="1" x14ac:dyDescent="0.3">
      <c r="A108" s="207" t="s">
        <v>331</v>
      </c>
      <c r="B108" s="208" t="s">
        <v>457</v>
      </c>
      <c r="C108" s="193">
        <f t="shared" si="16"/>
        <v>74090</v>
      </c>
      <c r="D108" s="194"/>
      <c r="E108" s="194">
        <f t="shared" si="27"/>
        <v>74090</v>
      </c>
      <c r="F108" s="194">
        <v>74090</v>
      </c>
      <c r="G108" s="210"/>
      <c r="H108" s="210"/>
      <c r="I108" s="210"/>
      <c r="J108" s="210"/>
      <c r="K108" s="187"/>
      <c r="L108" s="210"/>
      <c r="M108" s="210"/>
      <c r="N108" s="187"/>
      <c r="O108" s="210"/>
      <c r="P108" s="210"/>
      <c r="Q108" s="210"/>
      <c r="R108" s="210"/>
      <c r="S108" s="210"/>
      <c r="T108" s="210"/>
      <c r="U108" s="187"/>
      <c r="V108" s="210"/>
      <c r="W108" s="210"/>
      <c r="X108" s="187"/>
      <c r="Y108" s="187"/>
      <c r="Z108" s="187"/>
      <c r="AA108" s="187"/>
      <c r="AB108" s="195">
        <f t="shared" si="25"/>
        <v>0</v>
      </c>
      <c r="AC108" s="195"/>
      <c r="AD108" s="195">
        <f t="shared" si="26"/>
        <v>0</v>
      </c>
      <c r="AE108" s="195"/>
    </row>
    <row r="109" spans="1:38" s="151" customFormat="1" x14ac:dyDescent="0.3">
      <c r="A109" s="207" t="s">
        <v>333</v>
      </c>
      <c r="B109" s="208" t="s">
        <v>458</v>
      </c>
      <c r="C109" s="193">
        <f t="shared" si="16"/>
        <v>6573</v>
      </c>
      <c r="D109" s="210"/>
      <c r="E109" s="194">
        <f t="shared" si="27"/>
        <v>6573</v>
      </c>
      <c r="F109" s="194">
        <v>6573</v>
      </c>
      <c r="G109" s="210"/>
      <c r="H109" s="210"/>
      <c r="I109" s="210"/>
      <c r="J109" s="210"/>
      <c r="K109" s="187"/>
      <c r="L109" s="210"/>
      <c r="M109" s="210"/>
      <c r="N109" s="187"/>
      <c r="O109" s="210"/>
      <c r="P109" s="210"/>
      <c r="Q109" s="210"/>
      <c r="R109" s="210"/>
      <c r="S109" s="210"/>
      <c r="T109" s="210"/>
      <c r="U109" s="187"/>
      <c r="V109" s="210"/>
      <c r="W109" s="210"/>
      <c r="X109" s="187"/>
      <c r="Y109" s="187"/>
      <c r="Z109" s="187"/>
      <c r="AA109" s="187"/>
      <c r="AB109" s="195">
        <f t="shared" si="25"/>
        <v>0</v>
      </c>
      <c r="AC109" s="195"/>
      <c r="AD109" s="195">
        <f t="shared" si="26"/>
        <v>0</v>
      </c>
      <c r="AE109" s="195"/>
    </row>
    <row r="110" spans="1:38" s="151" customFormat="1" ht="57.75" customHeight="1" x14ac:dyDescent="0.3">
      <c r="A110" s="211" t="s">
        <v>31</v>
      </c>
      <c r="B110" s="212" t="s">
        <v>459</v>
      </c>
      <c r="C110" s="187">
        <f t="shared" si="16"/>
        <v>1300</v>
      </c>
      <c r="D110" s="210"/>
      <c r="E110" s="210"/>
      <c r="F110" s="210"/>
      <c r="G110" s="210"/>
      <c r="H110" s="210"/>
      <c r="I110" s="210">
        <v>1300</v>
      </c>
      <c r="J110" s="210"/>
      <c r="K110" s="187">
        <f t="shared" si="15"/>
        <v>0</v>
      </c>
      <c r="L110" s="210"/>
      <c r="M110" s="210"/>
      <c r="N110" s="187">
        <f>O110+P110+S110+T110+U110+X110</f>
        <v>18520.929</v>
      </c>
      <c r="O110" s="210"/>
      <c r="P110" s="210"/>
      <c r="Q110" s="210"/>
      <c r="R110" s="210"/>
      <c r="S110" s="210">
        <v>18520.929</v>
      </c>
      <c r="T110" s="210"/>
      <c r="U110" s="187">
        <f t="shared" ref="U110:U115" si="28">V110+W110</f>
        <v>0</v>
      </c>
      <c r="V110" s="210"/>
      <c r="W110" s="210"/>
      <c r="X110" s="187">
        <f>Y110+Z110</f>
        <v>0</v>
      </c>
      <c r="Y110" s="210"/>
      <c r="Z110" s="210"/>
      <c r="AA110" s="210"/>
      <c r="AB110" s="195"/>
      <c r="AC110" s="195"/>
      <c r="AD110" s="195"/>
      <c r="AE110" s="195"/>
    </row>
    <row r="111" spans="1:38" s="151" customFormat="1" x14ac:dyDescent="0.3">
      <c r="A111" s="211" t="s">
        <v>58</v>
      </c>
      <c r="B111" s="212" t="s">
        <v>460</v>
      </c>
      <c r="C111" s="187">
        <f t="shared" si="16"/>
        <v>1000</v>
      </c>
      <c r="D111" s="210"/>
      <c r="E111" s="210"/>
      <c r="F111" s="210"/>
      <c r="G111" s="210"/>
      <c r="H111" s="210"/>
      <c r="I111" s="210"/>
      <c r="J111" s="187">
        <v>1000</v>
      </c>
      <c r="K111" s="187">
        <f t="shared" si="15"/>
        <v>0</v>
      </c>
      <c r="L111" s="210"/>
      <c r="M111" s="210"/>
      <c r="N111" s="187">
        <f>O111+P111+S111+T111+U111+X111</f>
        <v>1000</v>
      </c>
      <c r="O111" s="210"/>
      <c r="P111" s="210">
        <f>Q111+R111</f>
        <v>0</v>
      </c>
      <c r="Q111" s="210"/>
      <c r="R111" s="210"/>
      <c r="S111" s="210"/>
      <c r="T111" s="210">
        <v>1000</v>
      </c>
      <c r="U111" s="187">
        <f t="shared" si="28"/>
        <v>0</v>
      </c>
      <c r="V111" s="210"/>
      <c r="W111" s="210"/>
      <c r="X111" s="187">
        <f>Y111+Z111</f>
        <v>0</v>
      </c>
      <c r="Y111" s="210"/>
      <c r="Z111" s="210"/>
      <c r="AA111" s="210"/>
      <c r="AB111" s="195"/>
      <c r="AC111" s="195"/>
      <c r="AD111" s="195"/>
      <c r="AE111" s="195"/>
      <c r="AI111" s="46"/>
      <c r="AJ111" s="46"/>
      <c r="AK111" s="46"/>
      <c r="AL111" s="46"/>
    </row>
    <row r="112" spans="1:38" s="151" customFormat="1" x14ac:dyDescent="0.3">
      <c r="A112" s="211" t="s">
        <v>75</v>
      </c>
      <c r="B112" s="212" t="s">
        <v>461</v>
      </c>
      <c r="C112" s="187">
        <f>D112+J112+I112+E112+K112</f>
        <v>66931</v>
      </c>
      <c r="D112" s="210"/>
      <c r="F112" s="210"/>
      <c r="G112" s="210"/>
      <c r="H112" s="210"/>
      <c r="I112" s="210"/>
      <c r="J112" s="210">
        <v>66931</v>
      </c>
      <c r="K112" s="187">
        <f t="shared" si="15"/>
        <v>0</v>
      </c>
      <c r="L112" s="210"/>
      <c r="M112" s="210"/>
      <c r="N112" s="187">
        <f>O112+P112+S112+T112+U112+X112</f>
        <v>0</v>
      </c>
      <c r="O112" s="210"/>
      <c r="P112" s="210"/>
      <c r="Q112" s="210"/>
      <c r="R112" s="210"/>
      <c r="S112" s="210"/>
      <c r="T112" s="210"/>
      <c r="U112" s="187">
        <f t="shared" si="28"/>
        <v>0</v>
      </c>
      <c r="V112" s="210"/>
      <c r="W112" s="210"/>
      <c r="X112" s="187">
        <f>Y112+Z112</f>
        <v>0</v>
      </c>
      <c r="Y112" s="210"/>
      <c r="Z112" s="210"/>
      <c r="AA112" s="210"/>
      <c r="AB112" s="195"/>
      <c r="AC112" s="195"/>
      <c r="AD112" s="195"/>
      <c r="AE112" s="195"/>
      <c r="AI112" s="46"/>
      <c r="AJ112" s="46"/>
      <c r="AK112" s="46"/>
      <c r="AL112" s="46"/>
    </row>
    <row r="113" spans="1:38" s="151" customFormat="1" ht="31.2" x14ac:dyDescent="0.3">
      <c r="A113" s="211" t="s">
        <v>76</v>
      </c>
      <c r="B113" s="212" t="s">
        <v>462</v>
      </c>
      <c r="C113" s="187">
        <f t="shared" si="16"/>
        <v>870945</v>
      </c>
      <c r="D113" s="210">
        <v>124127</v>
      </c>
      <c r="E113" s="210"/>
      <c r="F113" s="210"/>
      <c r="G113" s="210"/>
      <c r="H113" s="210"/>
      <c r="I113" s="210"/>
      <c r="J113" s="187">
        <f>891523-20578-124127</f>
        <v>746818</v>
      </c>
      <c r="K113" s="187">
        <f t="shared" si="15"/>
        <v>0</v>
      </c>
      <c r="L113" s="210"/>
      <c r="M113" s="210"/>
      <c r="N113" s="187">
        <f>O113+P113+S113+T113+U113+X113</f>
        <v>3298196.0079999999</v>
      </c>
      <c r="O113" s="210"/>
      <c r="P113" s="210"/>
      <c r="Q113" s="210"/>
      <c r="R113" s="210"/>
      <c r="S113" s="210"/>
      <c r="T113" s="210">
        <v>3298196.0079999999</v>
      </c>
      <c r="U113" s="187">
        <f t="shared" si="28"/>
        <v>0</v>
      </c>
      <c r="V113" s="210"/>
      <c r="W113" s="210"/>
      <c r="X113" s="187"/>
      <c r="Y113" s="210"/>
      <c r="Z113" s="210"/>
      <c r="AA113" s="210"/>
      <c r="AB113" s="195"/>
      <c r="AC113" s="195"/>
      <c r="AD113" s="195"/>
      <c r="AE113" s="195"/>
      <c r="AI113" s="46"/>
      <c r="AJ113" s="46"/>
      <c r="AK113" s="46"/>
      <c r="AL113" s="46"/>
    </row>
    <row r="114" spans="1:38" s="151" customFormat="1" ht="31.2" x14ac:dyDescent="0.3">
      <c r="A114" s="213" t="s">
        <v>463</v>
      </c>
      <c r="B114" s="214" t="s">
        <v>105</v>
      </c>
      <c r="C114" s="215">
        <f t="shared" si="16"/>
        <v>0</v>
      </c>
      <c r="D114" s="216"/>
      <c r="E114" s="216"/>
      <c r="F114" s="216"/>
      <c r="G114" s="216"/>
      <c r="H114" s="216"/>
      <c r="I114" s="216"/>
      <c r="J114" s="216"/>
      <c r="K114" s="215">
        <f t="shared" si="15"/>
        <v>0</v>
      </c>
      <c r="L114" s="216"/>
      <c r="M114" s="216"/>
      <c r="N114" s="215">
        <f>O114+P114+S114+T114+U114+X114</f>
        <v>1859411.5550220001</v>
      </c>
      <c r="O114" s="216"/>
      <c r="P114" s="216"/>
      <c r="Q114" s="216"/>
      <c r="R114" s="216"/>
      <c r="S114" s="216"/>
      <c r="T114" s="216"/>
      <c r="U114" s="215">
        <f t="shared" si="28"/>
        <v>0</v>
      </c>
      <c r="V114" s="216"/>
      <c r="W114" s="216"/>
      <c r="X114" s="216">
        <v>1859411.5550220001</v>
      </c>
      <c r="Y114" s="216"/>
      <c r="Z114" s="216"/>
      <c r="AA114" s="216"/>
      <c r="AB114" s="195"/>
      <c r="AC114" s="195"/>
      <c r="AD114" s="195"/>
      <c r="AE114" s="195"/>
      <c r="AI114" s="46"/>
      <c r="AJ114" s="46"/>
      <c r="AK114" s="46"/>
      <c r="AL114" s="46"/>
    </row>
    <row r="115" spans="1:38" x14ac:dyDescent="0.3">
      <c r="A115" s="217" t="s">
        <v>464</v>
      </c>
      <c r="B115" s="218" t="s">
        <v>247</v>
      </c>
      <c r="C115" s="219">
        <f t="shared" si="16"/>
        <v>0</v>
      </c>
      <c r="D115" s="220"/>
      <c r="E115" s="220"/>
      <c r="F115" s="220"/>
      <c r="G115" s="220"/>
      <c r="H115" s="220"/>
      <c r="I115" s="220"/>
      <c r="J115" s="220"/>
      <c r="K115" s="219">
        <f t="shared" si="15"/>
        <v>0</v>
      </c>
      <c r="L115" s="220"/>
      <c r="M115" s="220"/>
      <c r="N115" s="219">
        <f>O115+P115+S115+T115+U115+X115+AA115</f>
        <v>185107.980278</v>
      </c>
      <c r="O115" s="220"/>
      <c r="P115" s="220"/>
      <c r="Q115" s="220"/>
      <c r="R115" s="220"/>
      <c r="S115" s="220"/>
      <c r="T115" s="220"/>
      <c r="U115" s="219">
        <f t="shared" si="28"/>
        <v>0</v>
      </c>
      <c r="V115" s="220"/>
      <c r="W115" s="220"/>
      <c r="X115" s="220"/>
      <c r="Y115" s="220"/>
      <c r="Z115" s="220"/>
      <c r="AA115" s="220">
        <v>185107.980278</v>
      </c>
      <c r="AB115" s="221"/>
      <c r="AC115" s="221"/>
      <c r="AD115" s="221"/>
      <c r="AE115" s="221"/>
    </row>
    <row r="117" spans="1:38" ht="51" customHeight="1" x14ac:dyDescent="0.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row>
    <row r="120" spans="1:38" x14ac:dyDescent="0.3">
      <c r="N120" s="50"/>
    </row>
  </sheetData>
  <sortState ref="A32:AD258">
    <sortCondition ref="B32:B258"/>
  </sortState>
  <mergeCells count="34">
    <mergeCell ref="A3:AE3"/>
    <mergeCell ref="F8:F9"/>
    <mergeCell ref="G8:H8"/>
    <mergeCell ref="I8:I9"/>
    <mergeCell ref="C7:M7"/>
    <mergeCell ref="AB7:AE7"/>
    <mergeCell ref="AC1:AE1"/>
    <mergeCell ref="AB8:AB9"/>
    <mergeCell ref="AC8:AC9"/>
    <mergeCell ref="AD8:AD9"/>
    <mergeCell ref="AE8:AE9"/>
    <mergeCell ref="A4:AE4"/>
    <mergeCell ref="B1:C1"/>
    <mergeCell ref="AB6:AC6"/>
    <mergeCell ref="AD6:AE6"/>
    <mergeCell ref="A7:A9"/>
    <mergeCell ref="C8:C9"/>
    <mergeCell ref="D8:D9"/>
    <mergeCell ref="E8:E9"/>
    <mergeCell ref="B7:B9"/>
    <mergeCell ref="J8:J9"/>
    <mergeCell ref="N7:X7"/>
    <mergeCell ref="B117:AE117"/>
    <mergeCell ref="T8:T9"/>
    <mergeCell ref="U8:W8"/>
    <mergeCell ref="X8:X9"/>
    <mergeCell ref="Y8:Z8"/>
    <mergeCell ref="AA8:AA9"/>
    <mergeCell ref="N8:N9"/>
    <mergeCell ref="O8:O9"/>
    <mergeCell ref="P8:P9"/>
    <mergeCell ref="Q8:R8"/>
    <mergeCell ref="S8:S9"/>
    <mergeCell ref="K8:M8"/>
  </mergeCells>
  <dataValidations count="6">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C65389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25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61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1997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33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69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05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41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77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13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49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285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21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57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893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1048429 IY1048429 SU1048429 ACQ1048429 AMM1048429 AWI1048429 BGE1048429 BQA1048429 BZW1048429 CJS1048429 CTO1048429 DDK1048429 DNG1048429 DXC1048429 EGY1048429 EQU1048429 FAQ1048429 FKM1048429 FUI1048429 GEE1048429 GOA1048429 GXW1048429 HHS1048429 HRO1048429 IBK1048429 ILG1048429 IVC1048429 JEY1048429 JOU1048429 JYQ1048429 KIM1048429 KSI1048429 LCE1048429 LMA1048429 LVW1048429 MFS1048429 MPO1048429 MZK1048429 NJG1048429 NTC1048429 OCY1048429 OMU1048429 OWQ1048429 PGM1048429 PQI1048429 QAE1048429 QKA1048429 QTW1048429 RDS1048429 RNO1048429 RXK1048429 SHG1048429 SRC1048429 TAY1048429 TKU1048429 TUQ1048429 UEM1048429 UOI1048429 UYE1048429 VIA1048429 VRW1048429 WBS1048429 WLO1048429 WVK1048429"/>
    <dataValidation allowBlank="1" showInputMessage="1" showErrorMessage="1" prompt="Bao gồm: tăng 300tr. đồng Ghi thu ghi chi quyền sử dụng đất khai thác quỹ đất khu phía Nam cầu Đăk bla (Thường xuyên)" sqref="R70 JN70 TJ70 ADF70 ANB70 AWX70 BGT70 BQP70 CAL70 CKH70 CUD70 DDZ70 DNV70 DXR70 EHN70 ERJ70 FBF70 FLB70 FUX70 GET70 GOP70 GYL70 HIH70 HSD70 IBZ70 ILV70 IVR70 JFN70 JPJ70 JZF70 KJB70 KSX70 LCT70 LMP70 LWL70 MGH70 MQD70 MZZ70 NJV70 NTR70 ODN70 ONJ70 OXF70 PHB70 PQX70 QAT70 QKP70 QUL70 REH70 ROD70 RXZ70 SHV70 SRR70 TBN70 TLJ70 TVF70 UFB70 UOX70 UYT70 VIP70 VSL70 WCH70 WMD70 WVZ70 R65606 JN65606 TJ65606 ADF65606 ANB65606 AWX65606 BGT65606 BQP65606 CAL65606 CKH65606 CUD65606 DDZ65606 DNV65606 DXR65606 EHN65606 ERJ65606 FBF65606 FLB65606 FUX65606 GET65606 GOP65606 GYL65606 HIH65606 HSD65606 IBZ65606 ILV65606 IVR65606 JFN65606 JPJ65606 JZF65606 KJB65606 KSX65606 LCT65606 LMP65606 LWL65606 MGH65606 MQD65606 MZZ65606 NJV65606 NTR65606 ODN65606 ONJ65606 OXF65606 PHB65606 PQX65606 QAT65606 QKP65606 QUL65606 REH65606 ROD65606 RXZ65606 SHV65606 SRR65606 TBN65606 TLJ65606 TVF65606 UFB65606 UOX65606 UYT65606 VIP65606 VSL65606 WCH65606 WMD65606 WVZ65606 R131142 JN131142 TJ131142 ADF131142 ANB131142 AWX131142 BGT131142 BQP131142 CAL131142 CKH131142 CUD131142 DDZ131142 DNV131142 DXR131142 EHN131142 ERJ131142 FBF131142 FLB131142 FUX131142 GET131142 GOP131142 GYL131142 HIH131142 HSD131142 IBZ131142 ILV131142 IVR131142 JFN131142 JPJ131142 JZF131142 KJB131142 KSX131142 LCT131142 LMP131142 LWL131142 MGH131142 MQD131142 MZZ131142 NJV131142 NTR131142 ODN131142 ONJ131142 OXF131142 PHB131142 PQX131142 QAT131142 QKP131142 QUL131142 REH131142 ROD131142 RXZ131142 SHV131142 SRR131142 TBN131142 TLJ131142 TVF131142 UFB131142 UOX131142 UYT131142 VIP131142 VSL131142 WCH131142 WMD131142 WVZ131142 R196678 JN196678 TJ196678 ADF196678 ANB196678 AWX196678 BGT196678 BQP196678 CAL196678 CKH196678 CUD196678 DDZ196678 DNV196678 DXR196678 EHN196678 ERJ196678 FBF196678 FLB196678 FUX196678 GET196678 GOP196678 GYL196678 HIH196678 HSD196678 IBZ196678 ILV196678 IVR196678 JFN196678 JPJ196678 JZF196678 KJB196678 KSX196678 LCT196678 LMP196678 LWL196678 MGH196678 MQD196678 MZZ196678 NJV196678 NTR196678 ODN196678 ONJ196678 OXF196678 PHB196678 PQX196678 QAT196678 QKP196678 QUL196678 REH196678 ROD196678 RXZ196678 SHV196678 SRR196678 TBN196678 TLJ196678 TVF196678 UFB196678 UOX196678 UYT196678 VIP196678 VSL196678 WCH196678 WMD196678 WVZ196678 R262214 JN262214 TJ262214 ADF262214 ANB262214 AWX262214 BGT262214 BQP262214 CAL262214 CKH262214 CUD262214 DDZ262214 DNV262214 DXR262214 EHN262214 ERJ262214 FBF262214 FLB262214 FUX262214 GET262214 GOP262214 GYL262214 HIH262214 HSD262214 IBZ262214 ILV262214 IVR262214 JFN262214 JPJ262214 JZF262214 KJB262214 KSX262214 LCT262214 LMP262214 LWL262214 MGH262214 MQD262214 MZZ262214 NJV262214 NTR262214 ODN262214 ONJ262214 OXF262214 PHB262214 PQX262214 QAT262214 QKP262214 QUL262214 REH262214 ROD262214 RXZ262214 SHV262214 SRR262214 TBN262214 TLJ262214 TVF262214 UFB262214 UOX262214 UYT262214 VIP262214 VSL262214 WCH262214 WMD262214 WVZ262214 R327750 JN327750 TJ327750 ADF327750 ANB327750 AWX327750 BGT327750 BQP327750 CAL327750 CKH327750 CUD327750 DDZ327750 DNV327750 DXR327750 EHN327750 ERJ327750 FBF327750 FLB327750 FUX327750 GET327750 GOP327750 GYL327750 HIH327750 HSD327750 IBZ327750 ILV327750 IVR327750 JFN327750 JPJ327750 JZF327750 KJB327750 KSX327750 LCT327750 LMP327750 LWL327750 MGH327750 MQD327750 MZZ327750 NJV327750 NTR327750 ODN327750 ONJ327750 OXF327750 PHB327750 PQX327750 QAT327750 QKP327750 QUL327750 REH327750 ROD327750 RXZ327750 SHV327750 SRR327750 TBN327750 TLJ327750 TVF327750 UFB327750 UOX327750 UYT327750 VIP327750 VSL327750 WCH327750 WMD327750 WVZ327750 R393286 JN393286 TJ393286 ADF393286 ANB393286 AWX393286 BGT393286 BQP393286 CAL393286 CKH393286 CUD393286 DDZ393286 DNV393286 DXR393286 EHN393286 ERJ393286 FBF393286 FLB393286 FUX393286 GET393286 GOP393286 GYL393286 HIH393286 HSD393286 IBZ393286 ILV393286 IVR393286 JFN393286 JPJ393286 JZF393286 KJB393286 KSX393286 LCT393286 LMP393286 LWL393286 MGH393286 MQD393286 MZZ393286 NJV393286 NTR393286 ODN393286 ONJ393286 OXF393286 PHB393286 PQX393286 QAT393286 QKP393286 QUL393286 REH393286 ROD393286 RXZ393286 SHV393286 SRR393286 TBN393286 TLJ393286 TVF393286 UFB393286 UOX393286 UYT393286 VIP393286 VSL393286 WCH393286 WMD393286 WVZ393286 R458822 JN458822 TJ458822 ADF458822 ANB458822 AWX458822 BGT458822 BQP458822 CAL458822 CKH458822 CUD458822 DDZ458822 DNV458822 DXR458822 EHN458822 ERJ458822 FBF458822 FLB458822 FUX458822 GET458822 GOP458822 GYL458822 HIH458822 HSD458822 IBZ458822 ILV458822 IVR458822 JFN458822 JPJ458822 JZF458822 KJB458822 KSX458822 LCT458822 LMP458822 LWL458822 MGH458822 MQD458822 MZZ458822 NJV458822 NTR458822 ODN458822 ONJ458822 OXF458822 PHB458822 PQX458822 QAT458822 QKP458822 QUL458822 REH458822 ROD458822 RXZ458822 SHV458822 SRR458822 TBN458822 TLJ458822 TVF458822 UFB458822 UOX458822 UYT458822 VIP458822 VSL458822 WCH458822 WMD458822 WVZ458822 R524358 JN524358 TJ524358 ADF524358 ANB524358 AWX524358 BGT524358 BQP524358 CAL524358 CKH524358 CUD524358 DDZ524358 DNV524358 DXR524358 EHN524358 ERJ524358 FBF524358 FLB524358 FUX524358 GET524358 GOP524358 GYL524358 HIH524358 HSD524358 IBZ524358 ILV524358 IVR524358 JFN524358 JPJ524358 JZF524358 KJB524358 KSX524358 LCT524358 LMP524358 LWL524358 MGH524358 MQD524358 MZZ524358 NJV524358 NTR524358 ODN524358 ONJ524358 OXF524358 PHB524358 PQX524358 QAT524358 QKP524358 QUL524358 REH524358 ROD524358 RXZ524358 SHV524358 SRR524358 TBN524358 TLJ524358 TVF524358 UFB524358 UOX524358 UYT524358 VIP524358 VSL524358 WCH524358 WMD524358 WVZ524358 R589894 JN589894 TJ589894 ADF589894 ANB589894 AWX589894 BGT589894 BQP589894 CAL589894 CKH589894 CUD589894 DDZ589894 DNV589894 DXR589894 EHN589894 ERJ589894 FBF589894 FLB589894 FUX589894 GET589894 GOP589894 GYL589894 HIH589894 HSD589894 IBZ589894 ILV589894 IVR589894 JFN589894 JPJ589894 JZF589894 KJB589894 KSX589894 LCT589894 LMP589894 LWL589894 MGH589894 MQD589894 MZZ589894 NJV589894 NTR589894 ODN589894 ONJ589894 OXF589894 PHB589894 PQX589894 QAT589894 QKP589894 QUL589894 REH589894 ROD589894 RXZ589894 SHV589894 SRR589894 TBN589894 TLJ589894 TVF589894 UFB589894 UOX589894 UYT589894 VIP589894 VSL589894 WCH589894 WMD589894 WVZ589894 R655430 JN655430 TJ655430 ADF655430 ANB655430 AWX655430 BGT655430 BQP655430 CAL655430 CKH655430 CUD655430 DDZ655430 DNV655430 DXR655430 EHN655430 ERJ655430 FBF655430 FLB655430 FUX655430 GET655430 GOP655430 GYL655430 HIH655430 HSD655430 IBZ655430 ILV655430 IVR655430 JFN655430 JPJ655430 JZF655430 KJB655430 KSX655430 LCT655430 LMP655430 LWL655430 MGH655430 MQD655430 MZZ655430 NJV655430 NTR655430 ODN655430 ONJ655430 OXF655430 PHB655430 PQX655430 QAT655430 QKP655430 QUL655430 REH655430 ROD655430 RXZ655430 SHV655430 SRR655430 TBN655430 TLJ655430 TVF655430 UFB655430 UOX655430 UYT655430 VIP655430 VSL655430 WCH655430 WMD655430 WVZ655430 R720966 JN720966 TJ720966 ADF720966 ANB720966 AWX720966 BGT720966 BQP720966 CAL720966 CKH720966 CUD720966 DDZ720966 DNV720966 DXR720966 EHN720966 ERJ720966 FBF720966 FLB720966 FUX720966 GET720966 GOP720966 GYL720966 HIH720966 HSD720966 IBZ720966 ILV720966 IVR720966 JFN720966 JPJ720966 JZF720966 KJB720966 KSX720966 LCT720966 LMP720966 LWL720966 MGH720966 MQD720966 MZZ720966 NJV720966 NTR720966 ODN720966 ONJ720966 OXF720966 PHB720966 PQX720966 QAT720966 QKP720966 QUL720966 REH720966 ROD720966 RXZ720966 SHV720966 SRR720966 TBN720966 TLJ720966 TVF720966 UFB720966 UOX720966 UYT720966 VIP720966 VSL720966 WCH720966 WMD720966 WVZ720966 R786502 JN786502 TJ786502 ADF786502 ANB786502 AWX786502 BGT786502 BQP786502 CAL786502 CKH786502 CUD786502 DDZ786502 DNV786502 DXR786502 EHN786502 ERJ786502 FBF786502 FLB786502 FUX786502 GET786502 GOP786502 GYL786502 HIH786502 HSD786502 IBZ786502 ILV786502 IVR786502 JFN786502 JPJ786502 JZF786502 KJB786502 KSX786502 LCT786502 LMP786502 LWL786502 MGH786502 MQD786502 MZZ786502 NJV786502 NTR786502 ODN786502 ONJ786502 OXF786502 PHB786502 PQX786502 QAT786502 QKP786502 QUL786502 REH786502 ROD786502 RXZ786502 SHV786502 SRR786502 TBN786502 TLJ786502 TVF786502 UFB786502 UOX786502 UYT786502 VIP786502 VSL786502 WCH786502 WMD786502 WVZ786502 R852038 JN852038 TJ852038 ADF852038 ANB852038 AWX852038 BGT852038 BQP852038 CAL852038 CKH852038 CUD852038 DDZ852038 DNV852038 DXR852038 EHN852038 ERJ852038 FBF852038 FLB852038 FUX852038 GET852038 GOP852038 GYL852038 HIH852038 HSD852038 IBZ852038 ILV852038 IVR852038 JFN852038 JPJ852038 JZF852038 KJB852038 KSX852038 LCT852038 LMP852038 LWL852038 MGH852038 MQD852038 MZZ852038 NJV852038 NTR852038 ODN852038 ONJ852038 OXF852038 PHB852038 PQX852038 QAT852038 QKP852038 QUL852038 REH852038 ROD852038 RXZ852038 SHV852038 SRR852038 TBN852038 TLJ852038 TVF852038 UFB852038 UOX852038 UYT852038 VIP852038 VSL852038 WCH852038 WMD852038 WVZ852038 R917574 JN917574 TJ917574 ADF917574 ANB917574 AWX917574 BGT917574 BQP917574 CAL917574 CKH917574 CUD917574 DDZ917574 DNV917574 DXR917574 EHN917574 ERJ917574 FBF917574 FLB917574 FUX917574 GET917574 GOP917574 GYL917574 HIH917574 HSD917574 IBZ917574 ILV917574 IVR917574 JFN917574 JPJ917574 JZF917574 KJB917574 KSX917574 LCT917574 LMP917574 LWL917574 MGH917574 MQD917574 MZZ917574 NJV917574 NTR917574 ODN917574 ONJ917574 OXF917574 PHB917574 PQX917574 QAT917574 QKP917574 QUL917574 REH917574 ROD917574 RXZ917574 SHV917574 SRR917574 TBN917574 TLJ917574 TVF917574 UFB917574 UOX917574 UYT917574 VIP917574 VSL917574 WCH917574 WMD917574 WVZ917574 R983110 JN983110 TJ983110 ADF983110 ANB983110 AWX983110 BGT983110 BQP983110 CAL983110 CKH983110 CUD983110 DDZ983110 DNV983110 DXR983110 EHN983110 ERJ983110 FBF983110 FLB983110 FUX983110 GET983110 GOP983110 GYL983110 HIH983110 HSD983110 IBZ983110 ILV983110 IVR983110 JFN983110 JPJ983110 JZF983110 KJB983110 KSX983110 LCT983110 LMP983110 LWL983110 MGH983110 MQD983110 MZZ983110 NJV983110 NTR983110 ODN983110 ONJ983110 OXF983110 PHB983110 PQX983110 QAT983110 QKP983110 QUL983110 REH983110 ROD983110 RXZ983110 SHV983110 SRR983110 TBN983110 TLJ983110 TVF983110 UFB983110 UOX983110 UYT983110 VIP983110 VSL983110 WCH983110 WMD983110 WVZ983110"/>
    <dataValidation allowBlank="1" showInputMessage="1" showErrorMessage="1" prompt="Bao gồm Văn phòng điều phối CT MTQG NTM" sqref="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dataValidation allowBlank="1" showInputMessage="1" showErrorMessage="1" prompt="Bao gồm cả BS cân đối để khớp với tổng chi NS tỉnh" sqref="T113 JP113 TL113 ADH113 AND113 AWZ113 BGV113 BQR113 CAN113 CKJ113 CUF113 DEB113 DNX113 DXT113 EHP113 ERL113 FBH113 FLD113 FUZ113 GEV113 GOR113 GYN113 HIJ113 HSF113 ICB113 ILX113 IVT113 JFP113 JPL113 JZH113 KJD113 KSZ113 LCV113 LMR113 LWN113 MGJ113 MQF113 NAB113 NJX113 NTT113 ODP113 ONL113 OXH113 PHD113 PQZ113 QAV113 QKR113 QUN113 REJ113 ROF113 RYB113 SHX113 SRT113 TBP113 TLL113 TVH113 UFD113 UOZ113 UYV113 VIR113 VSN113 WCJ113 WMF113 WWB113 T65649 JP65649 TL65649 ADH65649 AND65649 AWZ65649 BGV65649 BQR65649 CAN65649 CKJ65649 CUF65649 DEB65649 DNX65649 DXT65649 EHP65649 ERL65649 FBH65649 FLD65649 FUZ65649 GEV65649 GOR65649 GYN65649 HIJ65649 HSF65649 ICB65649 ILX65649 IVT65649 JFP65649 JPL65649 JZH65649 KJD65649 KSZ65649 LCV65649 LMR65649 LWN65649 MGJ65649 MQF65649 NAB65649 NJX65649 NTT65649 ODP65649 ONL65649 OXH65649 PHD65649 PQZ65649 QAV65649 QKR65649 QUN65649 REJ65649 ROF65649 RYB65649 SHX65649 SRT65649 TBP65649 TLL65649 TVH65649 UFD65649 UOZ65649 UYV65649 VIR65649 VSN65649 WCJ65649 WMF65649 WWB65649 T131185 JP131185 TL131185 ADH131185 AND131185 AWZ131185 BGV131185 BQR131185 CAN131185 CKJ131185 CUF131185 DEB131185 DNX131185 DXT131185 EHP131185 ERL131185 FBH131185 FLD131185 FUZ131185 GEV131185 GOR131185 GYN131185 HIJ131185 HSF131185 ICB131185 ILX131185 IVT131185 JFP131185 JPL131185 JZH131185 KJD131185 KSZ131185 LCV131185 LMR131185 LWN131185 MGJ131185 MQF131185 NAB131185 NJX131185 NTT131185 ODP131185 ONL131185 OXH131185 PHD131185 PQZ131185 QAV131185 QKR131185 QUN131185 REJ131185 ROF131185 RYB131185 SHX131185 SRT131185 TBP131185 TLL131185 TVH131185 UFD131185 UOZ131185 UYV131185 VIR131185 VSN131185 WCJ131185 WMF131185 WWB131185 T196721 JP196721 TL196721 ADH196721 AND196721 AWZ196721 BGV196721 BQR196721 CAN196721 CKJ196721 CUF196721 DEB196721 DNX196721 DXT196721 EHP196721 ERL196721 FBH196721 FLD196721 FUZ196721 GEV196721 GOR196721 GYN196721 HIJ196721 HSF196721 ICB196721 ILX196721 IVT196721 JFP196721 JPL196721 JZH196721 KJD196721 KSZ196721 LCV196721 LMR196721 LWN196721 MGJ196721 MQF196721 NAB196721 NJX196721 NTT196721 ODP196721 ONL196721 OXH196721 PHD196721 PQZ196721 QAV196721 QKR196721 QUN196721 REJ196721 ROF196721 RYB196721 SHX196721 SRT196721 TBP196721 TLL196721 TVH196721 UFD196721 UOZ196721 UYV196721 VIR196721 VSN196721 WCJ196721 WMF196721 WWB196721 T262257 JP262257 TL262257 ADH262257 AND262257 AWZ262257 BGV262257 BQR262257 CAN262257 CKJ262257 CUF262257 DEB262257 DNX262257 DXT262257 EHP262257 ERL262257 FBH262257 FLD262257 FUZ262257 GEV262257 GOR262257 GYN262257 HIJ262257 HSF262257 ICB262257 ILX262257 IVT262257 JFP262257 JPL262257 JZH262257 KJD262257 KSZ262257 LCV262257 LMR262257 LWN262257 MGJ262257 MQF262257 NAB262257 NJX262257 NTT262257 ODP262257 ONL262257 OXH262257 PHD262257 PQZ262257 QAV262257 QKR262257 QUN262257 REJ262257 ROF262257 RYB262257 SHX262257 SRT262257 TBP262257 TLL262257 TVH262257 UFD262257 UOZ262257 UYV262257 VIR262257 VSN262257 WCJ262257 WMF262257 WWB262257 T327793 JP327793 TL327793 ADH327793 AND327793 AWZ327793 BGV327793 BQR327793 CAN327793 CKJ327793 CUF327793 DEB327793 DNX327793 DXT327793 EHP327793 ERL327793 FBH327793 FLD327793 FUZ327793 GEV327793 GOR327793 GYN327793 HIJ327793 HSF327793 ICB327793 ILX327793 IVT327793 JFP327793 JPL327793 JZH327793 KJD327793 KSZ327793 LCV327793 LMR327793 LWN327793 MGJ327793 MQF327793 NAB327793 NJX327793 NTT327793 ODP327793 ONL327793 OXH327793 PHD327793 PQZ327793 QAV327793 QKR327793 QUN327793 REJ327793 ROF327793 RYB327793 SHX327793 SRT327793 TBP327793 TLL327793 TVH327793 UFD327793 UOZ327793 UYV327793 VIR327793 VSN327793 WCJ327793 WMF327793 WWB327793 T393329 JP393329 TL393329 ADH393329 AND393329 AWZ393329 BGV393329 BQR393329 CAN393329 CKJ393329 CUF393329 DEB393329 DNX393329 DXT393329 EHP393329 ERL393329 FBH393329 FLD393329 FUZ393329 GEV393329 GOR393329 GYN393329 HIJ393329 HSF393329 ICB393329 ILX393329 IVT393329 JFP393329 JPL393329 JZH393329 KJD393329 KSZ393329 LCV393329 LMR393329 LWN393329 MGJ393329 MQF393329 NAB393329 NJX393329 NTT393329 ODP393329 ONL393329 OXH393329 PHD393329 PQZ393329 QAV393329 QKR393329 QUN393329 REJ393329 ROF393329 RYB393329 SHX393329 SRT393329 TBP393329 TLL393329 TVH393329 UFD393329 UOZ393329 UYV393329 VIR393329 VSN393329 WCJ393329 WMF393329 WWB393329 T458865 JP458865 TL458865 ADH458865 AND458865 AWZ458865 BGV458865 BQR458865 CAN458865 CKJ458865 CUF458865 DEB458865 DNX458865 DXT458865 EHP458865 ERL458865 FBH458865 FLD458865 FUZ458865 GEV458865 GOR458865 GYN458865 HIJ458865 HSF458865 ICB458865 ILX458865 IVT458865 JFP458865 JPL458865 JZH458865 KJD458865 KSZ458865 LCV458865 LMR458865 LWN458865 MGJ458865 MQF458865 NAB458865 NJX458865 NTT458865 ODP458865 ONL458865 OXH458865 PHD458865 PQZ458865 QAV458865 QKR458865 QUN458865 REJ458865 ROF458865 RYB458865 SHX458865 SRT458865 TBP458865 TLL458865 TVH458865 UFD458865 UOZ458865 UYV458865 VIR458865 VSN458865 WCJ458865 WMF458865 WWB458865 T524401 JP524401 TL524401 ADH524401 AND524401 AWZ524401 BGV524401 BQR524401 CAN524401 CKJ524401 CUF524401 DEB524401 DNX524401 DXT524401 EHP524401 ERL524401 FBH524401 FLD524401 FUZ524401 GEV524401 GOR524401 GYN524401 HIJ524401 HSF524401 ICB524401 ILX524401 IVT524401 JFP524401 JPL524401 JZH524401 KJD524401 KSZ524401 LCV524401 LMR524401 LWN524401 MGJ524401 MQF524401 NAB524401 NJX524401 NTT524401 ODP524401 ONL524401 OXH524401 PHD524401 PQZ524401 QAV524401 QKR524401 QUN524401 REJ524401 ROF524401 RYB524401 SHX524401 SRT524401 TBP524401 TLL524401 TVH524401 UFD524401 UOZ524401 UYV524401 VIR524401 VSN524401 WCJ524401 WMF524401 WWB524401 T589937 JP589937 TL589937 ADH589937 AND589937 AWZ589937 BGV589937 BQR589937 CAN589937 CKJ589937 CUF589937 DEB589937 DNX589937 DXT589937 EHP589937 ERL589937 FBH589937 FLD589937 FUZ589937 GEV589937 GOR589937 GYN589937 HIJ589937 HSF589937 ICB589937 ILX589937 IVT589937 JFP589937 JPL589937 JZH589937 KJD589937 KSZ589937 LCV589937 LMR589937 LWN589937 MGJ589937 MQF589937 NAB589937 NJX589937 NTT589937 ODP589937 ONL589937 OXH589937 PHD589937 PQZ589937 QAV589937 QKR589937 QUN589937 REJ589937 ROF589937 RYB589937 SHX589937 SRT589937 TBP589937 TLL589937 TVH589937 UFD589937 UOZ589937 UYV589937 VIR589937 VSN589937 WCJ589937 WMF589937 WWB589937 T655473 JP655473 TL655473 ADH655473 AND655473 AWZ655473 BGV655473 BQR655473 CAN655473 CKJ655473 CUF655473 DEB655473 DNX655473 DXT655473 EHP655473 ERL655473 FBH655473 FLD655473 FUZ655473 GEV655473 GOR655473 GYN655473 HIJ655473 HSF655473 ICB655473 ILX655473 IVT655473 JFP655473 JPL655473 JZH655473 KJD655473 KSZ655473 LCV655473 LMR655473 LWN655473 MGJ655473 MQF655473 NAB655473 NJX655473 NTT655473 ODP655473 ONL655473 OXH655473 PHD655473 PQZ655473 QAV655473 QKR655473 QUN655473 REJ655473 ROF655473 RYB655473 SHX655473 SRT655473 TBP655473 TLL655473 TVH655473 UFD655473 UOZ655473 UYV655473 VIR655473 VSN655473 WCJ655473 WMF655473 WWB655473 T721009 JP721009 TL721009 ADH721009 AND721009 AWZ721009 BGV721009 BQR721009 CAN721009 CKJ721009 CUF721009 DEB721009 DNX721009 DXT721009 EHP721009 ERL721009 FBH721009 FLD721009 FUZ721009 GEV721009 GOR721009 GYN721009 HIJ721009 HSF721009 ICB721009 ILX721009 IVT721009 JFP721009 JPL721009 JZH721009 KJD721009 KSZ721009 LCV721009 LMR721009 LWN721009 MGJ721009 MQF721009 NAB721009 NJX721009 NTT721009 ODP721009 ONL721009 OXH721009 PHD721009 PQZ721009 QAV721009 QKR721009 QUN721009 REJ721009 ROF721009 RYB721009 SHX721009 SRT721009 TBP721009 TLL721009 TVH721009 UFD721009 UOZ721009 UYV721009 VIR721009 VSN721009 WCJ721009 WMF721009 WWB721009 T786545 JP786545 TL786545 ADH786545 AND786545 AWZ786545 BGV786545 BQR786545 CAN786545 CKJ786545 CUF786545 DEB786545 DNX786545 DXT786545 EHP786545 ERL786545 FBH786545 FLD786545 FUZ786545 GEV786545 GOR786545 GYN786545 HIJ786545 HSF786545 ICB786545 ILX786545 IVT786545 JFP786545 JPL786545 JZH786545 KJD786545 KSZ786545 LCV786545 LMR786545 LWN786545 MGJ786545 MQF786545 NAB786545 NJX786545 NTT786545 ODP786545 ONL786545 OXH786545 PHD786545 PQZ786545 QAV786545 QKR786545 QUN786545 REJ786545 ROF786545 RYB786545 SHX786545 SRT786545 TBP786545 TLL786545 TVH786545 UFD786545 UOZ786545 UYV786545 VIR786545 VSN786545 WCJ786545 WMF786545 WWB786545 T852081 JP852081 TL852081 ADH852081 AND852081 AWZ852081 BGV852081 BQR852081 CAN852081 CKJ852081 CUF852081 DEB852081 DNX852081 DXT852081 EHP852081 ERL852081 FBH852081 FLD852081 FUZ852081 GEV852081 GOR852081 GYN852081 HIJ852081 HSF852081 ICB852081 ILX852081 IVT852081 JFP852081 JPL852081 JZH852081 KJD852081 KSZ852081 LCV852081 LMR852081 LWN852081 MGJ852081 MQF852081 NAB852081 NJX852081 NTT852081 ODP852081 ONL852081 OXH852081 PHD852081 PQZ852081 QAV852081 QKR852081 QUN852081 REJ852081 ROF852081 RYB852081 SHX852081 SRT852081 TBP852081 TLL852081 TVH852081 UFD852081 UOZ852081 UYV852081 VIR852081 VSN852081 WCJ852081 WMF852081 WWB852081 T917617 JP917617 TL917617 ADH917617 AND917617 AWZ917617 BGV917617 BQR917617 CAN917617 CKJ917617 CUF917617 DEB917617 DNX917617 DXT917617 EHP917617 ERL917617 FBH917617 FLD917617 FUZ917617 GEV917617 GOR917617 GYN917617 HIJ917617 HSF917617 ICB917617 ILX917617 IVT917617 JFP917617 JPL917617 JZH917617 KJD917617 KSZ917617 LCV917617 LMR917617 LWN917617 MGJ917617 MQF917617 NAB917617 NJX917617 NTT917617 ODP917617 ONL917617 OXH917617 PHD917617 PQZ917617 QAV917617 QKR917617 QUN917617 REJ917617 ROF917617 RYB917617 SHX917617 SRT917617 TBP917617 TLL917617 TVH917617 UFD917617 UOZ917617 UYV917617 VIR917617 VSN917617 WCJ917617 WMF917617 WWB917617 T983153 JP983153 TL983153 ADH983153 AND983153 AWZ983153 BGV983153 BQR983153 CAN983153 CKJ983153 CUF983153 DEB983153 DNX983153 DXT983153 EHP983153 ERL983153 FBH983153 FLD983153 FUZ983153 GEV983153 GOR983153 GYN983153 HIJ983153 HSF983153 ICB983153 ILX983153 IVT983153 JFP983153 JPL983153 JZH983153 KJD983153 KSZ983153 LCV983153 LMR983153 LWN983153 MGJ983153 MQF983153 NAB983153 NJX983153 NTT983153 ODP983153 ONL983153 OXH983153 PHD983153 PQZ983153 QAV983153 QKR983153 QUN983153 REJ983153 ROF983153 RYB983153 SHX983153 SRT983153 TBP983153 TLL983153 TVH983153 UFD983153 UOZ983153 UYV983153 VIR983153 VSN983153 WCJ983153 WMF983153 WWB983153"/>
    <dataValidation allowBlank="1" showInputMessage="1" showErrorMessage="1" prompt="Bộ Quốc phòng_x000a_" sqref="Q65578 JM65578 TI65578 ADE65578 ANA65578 AWW65578 BGS65578 BQO65578 CAK65578 CKG65578 CUC65578 DDY65578 DNU65578 DXQ65578 EHM65578 ERI65578 FBE65578 FLA65578 FUW65578 GES65578 GOO65578 GYK65578 HIG65578 HSC65578 IBY65578 ILU65578 IVQ65578 JFM65578 JPI65578 JZE65578 KJA65578 KSW65578 LCS65578 LMO65578 LWK65578 MGG65578 MQC65578 MZY65578 NJU65578 NTQ65578 ODM65578 ONI65578 OXE65578 PHA65578 PQW65578 QAS65578 QKO65578 QUK65578 REG65578 ROC65578 RXY65578 SHU65578 SRQ65578 TBM65578 TLI65578 TVE65578 UFA65578 UOW65578 UYS65578 VIO65578 VSK65578 WCG65578 WMC65578 WVY65578 Q131114 JM131114 TI131114 ADE131114 ANA131114 AWW131114 BGS131114 BQO131114 CAK131114 CKG131114 CUC131114 DDY131114 DNU131114 DXQ131114 EHM131114 ERI131114 FBE131114 FLA131114 FUW131114 GES131114 GOO131114 GYK131114 HIG131114 HSC131114 IBY131114 ILU131114 IVQ131114 JFM131114 JPI131114 JZE131114 KJA131114 KSW131114 LCS131114 LMO131114 LWK131114 MGG131114 MQC131114 MZY131114 NJU131114 NTQ131114 ODM131114 ONI131114 OXE131114 PHA131114 PQW131114 QAS131114 QKO131114 QUK131114 REG131114 ROC131114 RXY131114 SHU131114 SRQ131114 TBM131114 TLI131114 TVE131114 UFA131114 UOW131114 UYS131114 VIO131114 VSK131114 WCG131114 WMC131114 WVY131114 Q196650 JM196650 TI196650 ADE196650 ANA196650 AWW196650 BGS196650 BQO196650 CAK196650 CKG196650 CUC196650 DDY196650 DNU196650 DXQ196650 EHM196650 ERI196650 FBE196650 FLA196650 FUW196650 GES196650 GOO196650 GYK196650 HIG196650 HSC196650 IBY196650 ILU196650 IVQ196650 JFM196650 JPI196650 JZE196650 KJA196650 KSW196650 LCS196650 LMO196650 LWK196650 MGG196650 MQC196650 MZY196650 NJU196650 NTQ196650 ODM196650 ONI196650 OXE196650 PHA196650 PQW196650 QAS196650 QKO196650 QUK196650 REG196650 ROC196650 RXY196650 SHU196650 SRQ196650 TBM196650 TLI196650 TVE196650 UFA196650 UOW196650 UYS196650 VIO196650 VSK196650 WCG196650 WMC196650 WVY196650 Q262186 JM262186 TI262186 ADE262186 ANA262186 AWW262186 BGS262186 BQO262186 CAK262186 CKG262186 CUC262186 DDY262186 DNU262186 DXQ262186 EHM262186 ERI262186 FBE262186 FLA262186 FUW262186 GES262186 GOO262186 GYK262186 HIG262186 HSC262186 IBY262186 ILU262186 IVQ262186 JFM262186 JPI262186 JZE262186 KJA262186 KSW262186 LCS262186 LMO262186 LWK262186 MGG262186 MQC262186 MZY262186 NJU262186 NTQ262186 ODM262186 ONI262186 OXE262186 PHA262186 PQW262186 QAS262186 QKO262186 QUK262186 REG262186 ROC262186 RXY262186 SHU262186 SRQ262186 TBM262186 TLI262186 TVE262186 UFA262186 UOW262186 UYS262186 VIO262186 VSK262186 WCG262186 WMC262186 WVY262186 Q327722 JM327722 TI327722 ADE327722 ANA327722 AWW327722 BGS327722 BQO327722 CAK327722 CKG327722 CUC327722 DDY327722 DNU327722 DXQ327722 EHM327722 ERI327722 FBE327722 FLA327722 FUW327722 GES327722 GOO327722 GYK327722 HIG327722 HSC327722 IBY327722 ILU327722 IVQ327722 JFM327722 JPI327722 JZE327722 KJA327722 KSW327722 LCS327722 LMO327722 LWK327722 MGG327722 MQC327722 MZY327722 NJU327722 NTQ327722 ODM327722 ONI327722 OXE327722 PHA327722 PQW327722 QAS327722 QKO327722 QUK327722 REG327722 ROC327722 RXY327722 SHU327722 SRQ327722 TBM327722 TLI327722 TVE327722 UFA327722 UOW327722 UYS327722 VIO327722 VSK327722 WCG327722 WMC327722 WVY327722 Q393258 JM393258 TI393258 ADE393258 ANA393258 AWW393258 BGS393258 BQO393258 CAK393258 CKG393258 CUC393258 DDY393258 DNU393258 DXQ393258 EHM393258 ERI393258 FBE393258 FLA393258 FUW393258 GES393258 GOO393258 GYK393258 HIG393258 HSC393258 IBY393258 ILU393258 IVQ393258 JFM393258 JPI393258 JZE393258 KJA393258 KSW393258 LCS393258 LMO393258 LWK393258 MGG393258 MQC393258 MZY393258 NJU393258 NTQ393258 ODM393258 ONI393258 OXE393258 PHA393258 PQW393258 QAS393258 QKO393258 QUK393258 REG393258 ROC393258 RXY393258 SHU393258 SRQ393258 TBM393258 TLI393258 TVE393258 UFA393258 UOW393258 UYS393258 VIO393258 VSK393258 WCG393258 WMC393258 WVY393258 Q458794 JM458794 TI458794 ADE458794 ANA458794 AWW458794 BGS458794 BQO458794 CAK458794 CKG458794 CUC458794 DDY458794 DNU458794 DXQ458794 EHM458794 ERI458794 FBE458794 FLA458794 FUW458794 GES458794 GOO458794 GYK458794 HIG458794 HSC458794 IBY458794 ILU458794 IVQ458794 JFM458794 JPI458794 JZE458794 KJA458794 KSW458794 LCS458794 LMO458794 LWK458794 MGG458794 MQC458794 MZY458794 NJU458794 NTQ458794 ODM458794 ONI458794 OXE458794 PHA458794 PQW458794 QAS458794 QKO458794 QUK458794 REG458794 ROC458794 RXY458794 SHU458794 SRQ458794 TBM458794 TLI458794 TVE458794 UFA458794 UOW458794 UYS458794 VIO458794 VSK458794 WCG458794 WMC458794 WVY458794 Q524330 JM524330 TI524330 ADE524330 ANA524330 AWW524330 BGS524330 BQO524330 CAK524330 CKG524330 CUC524330 DDY524330 DNU524330 DXQ524330 EHM524330 ERI524330 FBE524330 FLA524330 FUW524330 GES524330 GOO524330 GYK524330 HIG524330 HSC524330 IBY524330 ILU524330 IVQ524330 JFM524330 JPI524330 JZE524330 KJA524330 KSW524330 LCS524330 LMO524330 LWK524330 MGG524330 MQC524330 MZY524330 NJU524330 NTQ524330 ODM524330 ONI524330 OXE524330 PHA524330 PQW524330 QAS524330 QKO524330 QUK524330 REG524330 ROC524330 RXY524330 SHU524330 SRQ524330 TBM524330 TLI524330 TVE524330 UFA524330 UOW524330 UYS524330 VIO524330 VSK524330 WCG524330 WMC524330 WVY524330 Q589866 JM589866 TI589866 ADE589866 ANA589866 AWW589866 BGS589866 BQO589866 CAK589866 CKG589866 CUC589866 DDY589866 DNU589866 DXQ589866 EHM589866 ERI589866 FBE589866 FLA589866 FUW589866 GES589866 GOO589866 GYK589866 HIG589866 HSC589866 IBY589866 ILU589866 IVQ589866 JFM589866 JPI589866 JZE589866 KJA589866 KSW589866 LCS589866 LMO589866 LWK589866 MGG589866 MQC589866 MZY589866 NJU589866 NTQ589866 ODM589866 ONI589866 OXE589866 PHA589866 PQW589866 QAS589866 QKO589866 QUK589866 REG589866 ROC589866 RXY589866 SHU589866 SRQ589866 TBM589866 TLI589866 TVE589866 UFA589866 UOW589866 UYS589866 VIO589866 VSK589866 WCG589866 WMC589866 WVY589866 Q655402 JM655402 TI655402 ADE655402 ANA655402 AWW655402 BGS655402 BQO655402 CAK655402 CKG655402 CUC655402 DDY655402 DNU655402 DXQ655402 EHM655402 ERI655402 FBE655402 FLA655402 FUW655402 GES655402 GOO655402 GYK655402 HIG655402 HSC655402 IBY655402 ILU655402 IVQ655402 JFM655402 JPI655402 JZE655402 KJA655402 KSW655402 LCS655402 LMO655402 LWK655402 MGG655402 MQC655402 MZY655402 NJU655402 NTQ655402 ODM655402 ONI655402 OXE655402 PHA655402 PQW655402 QAS655402 QKO655402 QUK655402 REG655402 ROC655402 RXY655402 SHU655402 SRQ655402 TBM655402 TLI655402 TVE655402 UFA655402 UOW655402 UYS655402 VIO655402 VSK655402 WCG655402 WMC655402 WVY655402 Q720938 JM720938 TI720938 ADE720938 ANA720938 AWW720938 BGS720938 BQO720938 CAK720938 CKG720938 CUC720938 DDY720938 DNU720938 DXQ720938 EHM720938 ERI720938 FBE720938 FLA720938 FUW720938 GES720938 GOO720938 GYK720938 HIG720938 HSC720938 IBY720938 ILU720938 IVQ720938 JFM720938 JPI720938 JZE720938 KJA720938 KSW720938 LCS720938 LMO720938 LWK720938 MGG720938 MQC720938 MZY720938 NJU720938 NTQ720938 ODM720938 ONI720938 OXE720938 PHA720938 PQW720938 QAS720938 QKO720938 QUK720938 REG720938 ROC720938 RXY720938 SHU720938 SRQ720938 TBM720938 TLI720938 TVE720938 UFA720938 UOW720938 UYS720938 VIO720938 VSK720938 WCG720938 WMC720938 WVY720938 Q786474 JM786474 TI786474 ADE786474 ANA786474 AWW786474 BGS786474 BQO786474 CAK786474 CKG786474 CUC786474 DDY786474 DNU786474 DXQ786474 EHM786474 ERI786474 FBE786474 FLA786474 FUW786474 GES786474 GOO786474 GYK786474 HIG786474 HSC786474 IBY786474 ILU786474 IVQ786474 JFM786474 JPI786474 JZE786474 KJA786474 KSW786474 LCS786474 LMO786474 LWK786474 MGG786474 MQC786474 MZY786474 NJU786474 NTQ786474 ODM786474 ONI786474 OXE786474 PHA786474 PQW786474 QAS786474 QKO786474 QUK786474 REG786474 ROC786474 RXY786474 SHU786474 SRQ786474 TBM786474 TLI786474 TVE786474 UFA786474 UOW786474 UYS786474 VIO786474 VSK786474 WCG786474 WMC786474 WVY786474 Q852010 JM852010 TI852010 ADE852010 ANA852010 AWW852010 BGS852010 BQO852010 CAK852010 CKG852010 CUC852010 DDY852010 DNU852010 DXQ852010 EHM852010 ERI852010 FBE852010 FLA852010 FUW852010 GES852010 GOO852010 GYK852010 HIG852010 HSC852010 IBY852010 ILU852010 IVQ852010 JFM852010 JPI852010 JZE852010 KJA852010 KSW852010 LCS852010 LMO852010 LWK852010 MGG852010 MQC852010 MZY852010 NJU852010 NTQ852010 ODM852010 ONI852010 OXE852010 PHA852010 PQW852010 QAS852010 QKO852010 QUK852010 REG852010 ROC852010 RXY852010 SHU852010 SRQ852010 TBM852010 TLI852010 TVE852010 UFA852010 UOW852010 UYS852010 VIO852010 VSK852010 WCG852010 WMC852010 WVY852010 Q917546 JM917546 TI917546 ADE917546 ANA917546 AWW917546 BGS917546 BQO917546 CAK917546 CKG917546 CUC917546 DDY917546 DNU917546 DXQ917546 EHM917546 ERI917546 FBE917546 FLA917546 FUW917546 GES917546 GOO917546 GYK917546 HIG917546 HSC917546 IBY917546 ILU917546 IVQ917546 JFM917546 JPI917546 JZE917546 KJA917546 KSW917546 LCS917546 LMO917546 LWK917546 MGG917546 MQC917546 MZY917546 NJU917546 NTQ917546 ODM917546 ONI917546 OXE917546 PHA917546 PQW917546 QAS917546 QKO917546 QUK917546 REG917546 ROC917546 RXY917546 SHU917546 SRQ917546 TBM917546 TLI917546 TVE917546 UFA917546 UOW917546 UYS917546 VIO917546 VSK917546 WCG917546 WMC917546 WVY917546 Q983082 JM983082 TI983082 ADE983082 ANA983082 AWW983082 BGS983082 BQO983082 CAK983082 CKG983082 CUC983082 DDY983082 DNU983082 DXQ983082 EHM983082 ERI983082 FBE983082 FLA983082 FUW983082 GES983082 GOO983082 GYK983082 HIG983082 HSC983082 IBY983082 ILU983082 IVQ983082 JFM983082 JPI983082 JZE983082 KJA983082 KSW983082 LCS983082 LMO983082 LWK983082 MGG983082 MQC983082 MZY983082 NJU983082 NTQ983082 ODM983082 ONI983082 OXE983082 PHA983082 PQW983082 QAS983082 QKO983082 QUK983082 REG983082 ROC983082 RXY983082 SHU983082 SRQ983082 TBM983082 TLI983082 TVE983082 UFA983082 UOW983082 UYS983082 VIO983082 VSK983082 WCG983082 WMC983082 WVY983082"/>
    <dataValidation allowBlank="1" showInputMessage="1" showErrorMessage="1" prompt="_x000a_" sqref="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dataValidations>
  <printOptions horizontalCentered="1"/>
  <pageMargins left="0" right="0" top="0.74803149606299213" bottom="0.51181102362204722"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1"/>
  <sheetViews>
    <sheetView zoomScale="80" zoomScaleNormal="80" workbookViewId="0">
      <pane xSplit="2" ySplit="9" topLeftCell="C10" activePane="bottomRight" state="frozen"/>
      <selection pane="topRight" activeCell="C1" sqref="C1"/>
      <selection pane="bottomLeft" activeCell="A10" sqref="A10"/>
      <selection pane="bottomRight" activeCell="F11" sqref="F11"/>
    </sheetView>
  </sheetViews>
  <sheetFormatPr defaultColWidth="9.109375" defaultRowHeight="13.8" x14ac:dyDescent="0.25"/>
  <cols>
    <col min="1" max="1" width="6.44140625" style="27" customWidth="1"/>
    <col min="2" max="2" width="20.44140625" style="27" customWidth="1"/>
    <col min="3" max="3" width="12.44140625" style="27" customWidth="1"/>
    <col min="4" max="4" width="12.88671875" style="27" customWidth="1"/>
    <col min="5" max="5" width="11.44140625" style="27" customWidth="1"/>
    <col min="6" max="7" width="10.5546875" style="27" customWidth="1"/>
    <col min="8" max="8" width="10.44140625" style="27" customWidth="1"/>
    <col min="9" max="9" width="12.44140625" style="27" customWidth="1"/>
    <col min="10" max="10" width="13.44140625" style="27" customWidth="1"/>
    <col min="11" max="11" width="12" style="27" customWidth="1"/>
    <col min="12" max="12" width="11.44140625" style="27" customWidth="1"/>
    <col min="13" max="13" width="11" style="27" customWidth="1"/>
    <col min="14" max="14" width="11.44140625" style="27" customWidth="1"/>
    <col min="15" max="15" width="7.44140625" style="27" customWidth="1"/>
    <col min="16" max="16" width="8.5546875" style="27" customWidth="1"/>
    <col min="17" max="18" width="7.44140625" style="27" customWidth="1"/>
    <col min="19" max="19" width="9" style="27" customWidth="1"/>
    <col min="20" max="20" width="7.44140625" style="27" customWidth="1"/>
    <col min="21" max="22" width="9.109375" style="27"/>
    <col min="23" max="23" width="9.44140625" style="27" bestFit="1" customWidth="1"/>
    <col min="24" max="16384" width="9.109375" style="27"/>
  </cols>
  <sheetData>
    <row r="1" spans="1:23" s="6" customFormat="1" ht="15.6" x14ac:dyDescent="0.3">
      <c r="A1" s="4"/>
      <c r="R1" s="4" t="s">
        <v>108</v>
      </c>
    </row>
    <row r="2" spans="1:23" s="6" customFormat="1" ht="15.6" x14ac:dyDescent="0.3">
      <c r="A2" s="3"/>
    </row>
    <row r="3" spans="1:23" s="6" customFormat="1" ht="16.8" x14ac:dyDescent="0.3">
      <c r="A3" s="306" t="s">
        <v>255</v>
      </c>
      <c r="B3" s="306"/>
      <c r="C3" s="306"/>
      <c r="D3" s="306"/>
      <c r="E3" s="306"/>
      <c r="F3" s="306"/>
      <c r="G3" s="306"/>
      <c r="H3" s="306"/>
      <c r="I3" s="306"/>
      <c r="J3" s="306"/>
      <c r="K3" s="306"/>
      <c r="L3" s="306"/>
      <c r="M3" s="306"/>
      <c r="N3" s="306"/>
      <c r="O3" s="306"/>
      <c r="P3" s="306"/>
      <c r="Q3" s="306"/>
      <c r="R3" s="306"/>
      <c r="S3" s="306"/>
      <c r="T3" s="306"/>
    </row>
    <row r="4" spans="1:23" s="6" customFormat="1" ht="15.6" x14ac:dyDescent="0.3">
      <c r="A4" s="307" t="s">
        <v>539</v>
      </c>
      <c r="B4" s="307"/>
      <c r="C4" s="307"/>
      <c r="D4" s="307"/>
      <c r="E4" s="307"/>
      <c r="F4" s="307"/>
      <c r="G4" s="307"/>
      <c r="H4" s="307"/>
      <c r="I4" s="307"/>
      <c r="J4" s="307"/>
      <c r="K4" s="307"/>
      <c r="L4" s="307"/>
      <c r="M4" s="307"/>
      <c r="N4" s="307"/>
      <c r="O4" s="307"/>
      <c r="P4" s="307"/>
      <c r="Q4" s="307"/>
      <c r="R4" s="307"/>
      <c r="S4" s="307"/>
      <c r="T4" s="307"/>
    </row>
    <row r="5" spans="1:23" s="6" customFormat="1" ht="15.6" x14ac:dyDescent="0.3">
      <c r="B5" s="34"/>
      <c r="C5" s="14"/>
      <c r="D5" s="8"/>
      <c r="I5" s="8"/>
      <c r="J5" s="8"/>
      <c r="S5" s="1" t="s">
        <v>1</v>
      </c>
    </row>
    <row r="6" spans="1:23" s="11" customFormat="1" ht="15.6" x14ac:dyDescent="0.3">
      <c r="A6" s="305" t="s">
        <v>2</v>
      </c>
      <c r="B6" s="305" t="s">
        <v>109</v>
      </c>
      <c r="C6" s="305" t="s">
        <v>156</v>
      </c>
      <c r="D6" s="305"/>
      <c r="E6" s="305"/>
      <c r="F6" s="305"/>
      <c r="G6" s="305"/>
      <c r="H6" s="305"/>
      <c r="I6" s="305" t="s">
        <v>157</v>
      </c>
      <c r="J6" s="305"/>
      <c r="K6" s="305"/>
      <c r="L6" s="305"/>
      <c r="M6" s="305"/>
      <c r="N6" s="305"/>
      <c r="O6" s="305" t="s">
        <v>112</v>
      </c>
      <c r="P6" s="305"/>
      <c r="Q6" s="305"/>
      <c r="R6" s="305"/>
      <c r="S6" s="305"/>
      <c r="T6" s="305"/>
    </row>
    <row r="7" spans="1:23" s="11" customFormat="1" ht="15.6" x14ac:dyDescent="0.3">
      <c r="A7" s="305"/>
      <c r="B7" s="305"/>
      <c r="C7" s="305" t="s">
        <v>113</v>
      </c>
      <c r="D7" s="305" t="s">
        <v>114</v>
      </c>
      <c r="E7" s="305" t="s">
        <v>115</v>
      </c>
      <c r="F7" s="305"/>
      <c r="G7" s="305"/>
      <c r="H7" s="305"/>
      <c r="I7" s="305" t="s">
        <v>113</v>
      </c>
      <c r="J7" s="305" t="s">
        <v>114</v>
      </c>
      <c r="K7" s="305" t="s">
        <v>115</v>
      </c>
      <c r="L7" s="305"/>
      <c r="M7" s="305"/>
      <c r="N7" s="305"/>
      <c r="O7" s="305" t="s">
        <v>113</v>
      </c>
      <c r="P7" s="305" t="s">
        <v>114</v>
      </c>
      <c r="Q7" s="305" t="s">
        <v>115</v>
      </c>
      <c r="R7" s="305"/>
      <c r="S7" s="305"/>
      <c r="T7" s="305"/>
    </row>
    <row r="8" spans="1:23" s="37" customFormat="1" ht="145.5" customHeight="1" x14ac:dyDescent="0.25">
      <c r="A8" s="305"/>
      <c r="B8" s="305"/>
      <c r="C8" s="305"/>
      <c r="D8" s="305"/>
      <c r="E8" s="36" t="s">
        <v>113</v>
      </c>
      <c r="F8" s="36" t="s">
        <v>116</v>
      </c>
      <c r="G8" s="36" t="s">
        <v>117</v>
      </c>
      <c r="H8" s="36" t="s">
        <v>118</v>
      </c>
      <c r="I8" s="305"/>
      <c r="J8" s="305"/>
      <c r="K8" s="36" t="s">
        <v>113</v>
      </c>
      <c r="L8" s="36" t="s">
        <v>116</v>
      </c>
      <c r="M8" s="36" t="s">
        <v>117</v>
      </c>
      <c r="N8" s="36" t="s">
        <v>118</v>
      </c>
      <c r="O8" s="305"/>
      <c r="P8" s="305"/>
      <c r="Q8" s="36" t="s">
        <v>113</v>
      </c>
      <c r="R8" s="29" t="s">
        <v>116</v>
      </c>
      <c r="S8" s="29" t="s">
        <v>117</v>
      </c>
      <c r="T8" s="29" t="s">
        <v>118</v>
      </c>
      <c r="U8" s="168"/>
    </row>
    <row r="9" spans="1:23" s="35" customFormat="1" ht="26.4" x14ac:dyDescent="0.25">
      <c r="A9" s="30" t="s">
        <v>7</v>
      </c>
      <c r="B9" s="30" t="s">
        <v>8</v>
      </c>
      <c r="C9" s="30">
        <v>1</v>
      </c>
      <c r="D9" s="30">
        <v>2</v>
      </c>
      <c r="E9" s="30">
        <v>3</v>
      </c>
      <c r="F9" s="30">
        <v>4</v>
      </c>
      <c r="G9" s="30">
        <v>5</v>
      </c>
      <c r="H9" s="30">
        <v>6</v>
      </c>
      <c r="I9" s="30">
        <v>7</v>
      </c>
      <c r="J9" s="30">
        <v>8</v>
      </c>
      <c r="K9" s="30">
        <v>9</v>
      </c>
      <c r="L9" s="30">
        <v>10</v>
      </c>
      <c r="M9" s="30">
        <v>11</v>
      </c>
      <c r="N9" s="30">
        <v>12</v>
      </c>
      <c r="O9" s="30" t="s">
        <v>119</v>
      </c>
      <c r="P9" s="30" t="s">
        <v>120</v>
      </c>
      <c r="Q9" s="30" t="s">
        <v>121</v>
      </c>
      <c r="R9" s="30" t="s">
        <v>122</v>
      </c>
      <c r="S9" s="30" t="s">
        <v>123</v>
      </c>
      <c r="T9" s="30" t="s">
        <v>124</v>
      </c>
    </row>
    <row r="10" spans="1:23" s="6" customFormat="1" ht="15.6" x14ac:dyDescent="0.3">
      <c r="A10" s="9"/>
      <c r="B10" s="9" t="s">
        <v>101</v>
      </c>
      <c r="C10" s="21">
        <f>SUM(C11:C20)</f>
        <v>2882653.92</v>
      </c>
      <c r="D10" s="21">
        <f t="shared" ref="D10:N10" si="0">SUM(D11:D20)</f>
        <v>2011709.4</v>
      </c>
      <c r="E10" s="21">
        <f t="shared" si="0"/>
        <v>870944.52</v>
      </c>
      <c r="F10" s="21">
        <f t="shared" si="0"/>
        <v>124127</v>
      </c>
      <c r="G10" s="21">
        <f t="shared" si="0"/>
        <v>242697.52000000002</v>
      </c>
      <c r="H10" s="21">
        <f t="shared" si="0"/>
        <v>504120</v>
      </c>
      <c r="I10" s="21">
        <f t="shared" si="0"/>
        <v>3298196.1259999997</v>
      </c>
      <c r="J10" s="42">
        <f t="shared" si="0"/>
        <v>2011709.4</v>
      </c>
      <c r="K10" s="42">
        <f t="shared" si="0"/>
        <v>1286486.726</v>
      </c>
      <c r="L10" s="42">
        <f t="shared" si="0"/>
        <v>210270.30799999999</v>
      </c>
      <c r="M10" s="42">
        <f t="shared" si="0"/>
        <v>568916.41800000006</v>
      </c>
      <c r="N10" s="42">
        <f t="shared" si="0"/>
        <v>507300</v>
      </c>
      <c r="O10" s="223">
        <f t="shared" ref="O10:T20" si="1">I10/C10%</f>
        <v>114.41526515260631</v>
      </c>
      <c r="P10" s="224">
        <f t="shared" si="1"/>
        <v>100.00000000000001</v>
      </c>
      <c r="Q10" s="224">
        <f t="shared" si="1"/>
        <v>147.71167352887184</v>
      </c>
      <c r="R10" s="224">
        <f t="shared" si="1"/>
        <v>169.39933133000878</v>
      </c>
      <c r="S10" s="224">
        <f t="shared" si="1"/>
        <v>234.41377480907099</v>
      </c>
      <c r="T10" s="224">
        <f>N10/H10%</f>
        <v>100.63080218995478</v>
      </c>
      <c r="W10" s="8"/>
    </row>
    <row r="11" spans="1:23" s="6" customFormat="1" ht="15.6" x14ac:dyDescent="0.3">
      <c r="A11" s="225">
        <v>1</v>
      </c>
      <c r="B11" s="226" t="s">
        <v>140</v>
      </c>
      <c r="C11" s="12">
        <f>D11+E11</f>
        <v>306706.60000000003</v>
      </c>
      <c r="D11" s="12">
        <v>249219.40000000002</v>
      </c>
      <c r="E11" s="22">
        <f>F11+G11+H11</f>
        <v>57487.199999999997</v>
      </c>
      <c r="F11" s="22">
        <v>20932</v>
      </c>
      <c r="G11" s="22">
        <v>26351.200000000001</v>
      </c>
      <c r="H11" s="22">
        <v>10204</v>
      </c>
      <c r="I11" s="22">
        <f>J11+K11</f>
        <v>360120.66500000004</v>
      </c>
      <c r="J11" s="24">
        <v>249219.40000000002</v>
      </c>
      <c r="K11" s="24">
        <f>L11+M11+N11</f>
        <v>110901.265</v>
      </c>
      <c r="L11" s="24">
        <v>33932</v>
      </c>
      <c r="M11" s="24">
        <v>66415.264999999999</v>
      </c>
      <c r="N11" s="24">
        <v>10554</v>
      </c>
      <c r="O11" s="43">
        <f t="shared" si="1"/>
        <v>117.41536210828198</v>
      </c>
      <c r="P11" s="13">
        <f t="shared" si="1"/>
        <v>99.999999999999986</v>
      </c>
      <c r="Q11" s="13">
        <f t="shared" si="1"/>
        <v>192.91470970929183</v>
      </c>
      <c r="R11" s="13">
        <f t="shared" si="1"/>
        <v>162.10586661570801</v>
      </c>
      <c r="S11" s="13">
        <f>M11/G11%</f>
        <v>252.0388635052673</v>
      </c>
      <c r="T11" s="13">
        <f>N11/H11%</f>
        <v>103.43002744021952</v>
      </c>
      <c r="W11" s="8"/>
    </row>
    <row r="12" spans="1:23" s="6" customFormat="1" ht="15.6" x14ac:dyDescent="0.3">
      <c r="A12" s="225">
        <v>2</v>
      </c>
      <c r="B12" s="226" t="s">
        <v>139</v>
      </c>
      <c r="C12" s="12">
        <f t="shared" ref="C12:C20" si="2">D12+E12</f>
        <v>339769</v>
      </c>
      <c r="D12" s="12">
        <v>263005</v>
      </c>
      <c r="E12" s="22">
        <f t="shared" ref="E12:E20" si="3">F12+G12+H12</f>
        <v>76764</v>
      </c>
      <c r="F12" s="22">
        <v>15577</v>
      </c>
      <c r="G12" s="22">
        <v>33768</v>
      </c>
      <c r="H12" s="22">
        <v>27419</v>
      </c>
      <c r="I12" s="22">
        <f t="shared" ref="I12:I20" si="4">J12+K12</f>
        <v>396588.13</v>
      </c>
      <c r="J12" s="24">
        <v>263005</v>
      </c>
      <c r="K12" s="24">
        <f t="shared" ref="K12:K20" si="5">L12+M12+N12</f>
        <v>133583.13</v>
      </c>
      <c r="L12" s="24">
        <v>28363</v>
      </c>
      <c r="M12" s="24">
        <v>76391.13</v>
      </c>
      <c r="N12" s="24">
        <v>28829</v>
      </c>
      <c r="O12" s="43">
        <f t="shared" si="1"/>
        <v>116.72287053851294</v>
      </c>
      <c r="P12" s="13">
        <f t="shared" si="1"/>
        <v>100</v>
      </c>
      <c r="Q12" s="13">
        <f t="shared" si="1"/>
        <v>174.01793809598249</v>
      </c>
      <c r="R12" s="13">
        <f t="shared" si="1"/>
        <v>182.08255761699942</v>
      </c>
      <c r="S12" s="13">
        <f t="shared" si="1"/>
        <v>226.22343638948118</v>
      </c>
      <c r="T12" s="13">
        <f t="shared" si="1"/>
        <v>105.14241949013459</v>
      </c>
      <c r="W12" s="8"/>
    </row>
    <row r="13" spans="1:23" s="6" customFormat="1" ht="15.6" x14ac:dyDescent="0.3">
      <c r="A13" s="225">
        <v>3</v>
      </c>
      <c r="B13" s="226" t="s">
        <v>141</v>
      </c>
      <c r="C13" s="12">
        <f t="shared" si="2"/>
        <v>234955</v>
      </c>
      <c r="D13" s="12">
        <v>180092</v>
      </c>
      <c r="E13" s="22">
        <f t="shared" si="3"/>
        <v>54863</v>
      </c>
      <c r="F13" s="22">
        <v>5482</v>
      </c>
      <c r="G13" s="22">
        <v>20783</v>
      </c>
      <c r="H13" s="22">
        <v>28598</v>
      </c>
      <c r="I13" s="22">
        <f t="shared" si="4"/>
        <v>269992</v>
      </c>
      <c r="J13" s="24">
        <v>180092</v>
      </c>
      <c r="K13" s="24">
        <f t="shared" si="5"/>
        <v>89900</v>
      </c>
      <c r="L13" s="24">
        <v>18904</v>
      </c>
      <c r="M13" s="24">
        <v>41688</v>
      </c>
      <c r="N13" s="24">
        <v>29308</v>
      </c>
      <c r="O13" s="43">
        <f t="shared" si="1"/>
        <v>114.91221723308718</v>
      </c>
      <c r="P13" s="13">
        <f t="shared" si="1"/>
        <v>100</v>
      </c>
      <c r="Q13" s="13">
        <f t="shared" si="1"/>
        <v>163.86271257495946</v>
      </c>
      <c r="R13" s="13">
        <f t="shared" si="1"/>
        <v>344.83765049252099</v>
      </c>
      <c r="S13" s="13">
        <f t="shared" si="1"/>
        <v>200.5870182360583</v>
      </c>
      <c r="T13" s="13">
        <f t="shared" si="1"/>
        <v>102.48269109727953</v>
      </c>
      <c r="W13" s="8"/>
    </row>
    <row r="14" spans="1:23" s="6" customFormat="1" ht="15.6" x14ac:dyDescent="0.3">
      <c r="A14" s="225">
        <v>4</v>
      </c>
      <c r="B14" s="226" t="s">
        <v>142</v>
      </c>
      <c r="C14" s="12">
        <f t="shared" si="2"/>
        <v>278524</v>
      </c>
      <c r="D14" s="12">
        <v>206964</v>
      </c>
      <c r="E14" s="22">
        <f t="shared" si="3"/>
        <v>71560</v>
      </c>
      <c r="F14" s="22">
        <v>20463</v>
      </c>
      <c r="G14" s="22">
        <v>10993</v>
      </c>
      <c r="H14" s="22">
        <v>40104</v>
      </c>
      <c r="I14" s="22">
        <f t="shared" si="4"/>
        <v>333546.97200000001</v>
      </c>
      <c r="J14" s="24">
        <v>206964</v>
      </c>
      <c r="K14" s="24">
        <f t="shared" si="5"/>
        <v>126582.97199999999</v>
      </c>
      <c r="L14" s="24">
        <v>32018</v>
      </c>
      <c r="M14" s="24">
        <v>54460.971999999994</v>
      </c>
      <c r="N14" s="24">
        <v>40104</v>
      </c>
      <c r="O14" s="43">
        <f t="shared" si="1"/>
        <v>119.75519955192372</v>
      </c>
      <c r="P14" s="13">
        <f t="shared" si="1"/>
        <v>100</v>
      </c>
      <c r="Q14" s="13">
        <f t="shared" si="1"/>
        <v>176.89068194522079</v>
      </c>
      <c r="R14" s="13">
        <f t="shared" si="1"/>
        <v>156.46777109905685</v>
      </c>
      <c r="S14" s="13">
        <f t="shared" si="1"/>
        <v>495.41500955153271</v>
      </c>
      <c r="T14" s="13">
        <f t="shared" si="1"/>
        <v>100</v>
      </c>
      <c r="W14" s="8"/>
    </row>
    <row r="15" spans="1:23" s="6" customFormat="1" ht="15.6" x14ac:dyDescent="0.3">
      <c r="A15" s="225">
        <v>5</v>
      </c>
      <c r="B15" s="226" t="s">
        <v>153</v>
      </c>
      <c r="C15" s="12">
        <f t="shared" si="2"/>
        <v>393271</v>
      </c>
      <c r="D15" s="12">
        <v>272226</v>
      </c>
      <c r="E15" s="22">
        <f t="shared" si="3"/>
        <v>121045</v>
      </c>
      <c r="F15" s="22">
        <v>8869</v>
      </c>
      <c r="G15" s="22">
        <v>35293</v>
      </c>
      <c r="H15" s="22">
        <v>76883</v>
      </c>
      <c r="I15" s="22">
        <f t="shared" si="4"/>
        <v>446428.58799999999</v>
      </c>
      <c r="J15" s="24">
        <v>272226</v>
      </c>
      <c r="K15" s="24">
        <f t="shared" si="5"/>
        <v>174202.58799999999</v>
      </c>
      <c r="L15" s="24">
        <v>11503</v>
      </c>
      <c r="M15" s="24">
        <v>85816.587999999989</v>
      </c>
      <c r="N15" s="24">
        <v>76883</v>
      </c>
      <c r="O15" s="43">
        <f t="shared" si="1"/>
        <v>113.51678308342085</v>
      </c>
      <c r="P15" s="13">
        <f t="shared" si="1"/>
        <v>99.999999999999986</v>
      </c>
      <c r="Q15" s="13">
        <f t="shared" si="1"/>
        <v>143.91555867652525</v>
      </c>
      <c r="R15" s="13">
        <f t="shared" si="1"/>
        <v>129.69895140376593</v>
      </c>
      <c r="S15" s="13">
        <f t="shared" si="1"/>
        <v>243.15469923214232</v>
      </c>
      <c r="T15" s="13">
        <f t="shared" si="1"/>
        <v>100</v>
      </c>
      <c r="W15" s="8"/>
    </row>
    <row r="16" spans="1:23" s="6" customFormat="1" ht="15.6" x14ac:dyDescent="0.3">
      <c r="A16" s="225">
        <v>6</v>
      </c>
      <c r="B16" s="226" t="s">
        <v>172</v>
      </c>
      <c r="C16" s="12">
        <f t="shared" si="2"/>
        <v>319005</v>
      </c>
      <c r="D16" s="12">
        <v>212136</v>
      </c>
      <c r="E16" s="22">
        <f t="shared" si="3"/>
        <v>106869</v>
      </c>
      <c r="F16" s="22">
        <v>3596</v>
      </c>
      <c r="G16" s="22">
        <v>34868</v>
      </c>
      <c r="H16" s="22">
        <v>68405</v>
      </c>
      <c r="I16" s="22">
        <f t="shared" si="4"/>
        <v>348317.55099999998</v>
      </c>
      <c r="J16" s="24">
        <v>212136</v>
      </c>
      <c r="K16" s="24">
        <f t="shared" si="5"/>
        <v>136181.55100000001</v>
      </c>
      <c r="L16" s="24">
        <v>6436</v>
      </c>
      <c r="M16" s="24">
        <v>61340.551000000007</v>
      </c>
      <c r="N16" s="24">
        <v>68405</v>
      </c>
      <c r="O16" s="43">
        <f t="shared" si="1"/>
        <v>109.18874343662324</v>
      </c>
      <c r="P16" s="13">
        <f t="shared" si="1"/>
        <v>100</v>
      </c>
      <c r="Q16" s="13">
        <f t="shared" si="1"/>
        <v>127.42848814904228</v>
      </c>
      <c r="R16" s="13">
        <f t="shared" si="1"/>
        <v>178.97664071190212</v>
      </c>
      <c r="S16" s="13">
        <f t="shared" si="1"/>
        <v>175.92219513594128</v>
      </c>
      <c r="T16" s="13">
        <f t="shared" si="1"/>
        <v>100</v>
      </c>
      <c r="W16" s="8"/>
    </row>
    <row r="17" spans="1:23" s="6" customFormat="1" ht="15.6" x14ac:dyDescent="0.3">
      <c r="A17" s="225">
        <v>7</v>
      </c>
      <c r="B17" s="226" t="s">
        <v>155</v>
      </c>
      <c r="C17" s="12">
        <f t="shared" si="2"/>
        <v>129891.32</v>
      </c>
      <c r="D17" s="12">
        <v>63365</v>
      </c>
      <c r="E17" s="22">
        <f t="shared" si="3"/>
        <v>66526.320000000007</v>
      </c>
      <c r="F17" s="22">
        <v>8291</v>
      </c>
      <c r="G17" s="22">
        <v>12555.32</v>
      </c>
      <c r="H17" s="22">
        <v>45680</v>
      </c>
      <c r="I17" s="22">
        <f t="shared" si="4"/>
        <v>152526</v>
      </c>
      <c r="J17" s="24">
        <v>63365</v>
      </c>
      <c r="K17" s="24">
        <f t="shared" si="5"/>
        <v>89161</v>
      </c>
      <c r="L17" s="24">
        <v>19291</v>
      </c>
      <c r="M17" s="24">
        <v>24190</v>
      </c>
      <c r="N17" s="24">
        <v>45680</v>
      </c>
      <c r="O17" s="43">
        <f t="shared" si="1"/>
        <v>117.42586032692562</v>
      </c>
      <c r="P17" s="13">
        <f t="shared" si="1"/>
        <v>100</v>
      </c>
      <c r="Q17" s="13">
        <f t="shared" si="1"/>
        <v>134.02364658078184</v>
      </c>
      <c r="R17" s="13">
        <f t="shared" si="1"/>
        <v>232.67398383789651</v>
      </c>
      <c r="S17" s="13">
        <f t="shared" si="1"/>
        <v>192.66733145789991</v>
      </c>
      <c r="T17" s="13">
        <f t="shared" si="1"/>
        <v>100</v>
      </c>
      <c r="W17" s="8"/>
    </row>
    <row r="18" spans="1:23" s="6" customFormat="1" ht="15.6" x14ac:dyDescent="0.3">
      <c r="A18" s="225">
        <v>8</v>
      </c>
      <c r="B18" s="226" t="s">
        <v>138</v>
      </c>
      <c r="C18" s="12">
        <f t="shared" si="2"/>
        <v>236543</v>
      </c>
      <c r="D18" s="12">
        <v>165144</v>
      </c>
      <c r="E18" s="22">
        <f t="shared" si="3"/>
        <v>71399</v>
      </c>
      <c r="F18" s="22">
        <v>15417</v>
      </c>
      <c r="G18" s="22">
        <v>23961</v>
      </c>
      <c r="H18" s="22">
        <v>32021</v>
      </c>
      <c r="I18" s="22">
        <f t="shared" si="4"/>
        <v>267099.38</v>
      </c>
      <c r="J18" s="24">
        <v>165144</v>
      </c>
      <c r="K18" s="24">
        <f t="shared" si="5"/>
        <v>101955.38</v>
      </c>
      <c r="L18" s="24">
        <v>21417</v>
      </c>
      <c r="M18" s="24">
        <v>48157.380000000005</v>
      </c>
      <c r="N18" s="24">
        <v>32381</v>
      </c>
      <c r="O18" s="43">
        <f t="shared" si="1"/>
        <v>112.91789653466813</v>
      </c>
      <c r="P18" s="13">
        <f t="shared" si="1"/>
        <v>100</v>
      </c>
      <c r="Q18" s="13">
        <f t="shared" si="1"/>
        <v>142.79664981302258</v>
      </c>
      <c r="R18" s="13">
        <f t="shared" si="1"/>
        <v>138.91807744697414</v>
      </c>
      <c r="S18" s="13">
        <f t="shared" si="1"/>
        <v>200.98234631275824</v>
      </c>
      <c r="T18" s="13">
        <f t="shared" si="1"/>
        <v>101.12426220292933</v>
      </c>
      <c r="W18" s="8"/>
    </row>
    <row r="19" spans="1:23" s="6" customFormat="1" ht="15.6" x14ac:dyDescent="0.3">
      <c r="A19" s="225">
        <v>9</v>
      </c>
      <c r="B19" s="226" t="s">
        <v>171</v>
      </c>
      <c r="C19" s="12">
        <f t="shared" si="2"/>
        <v>265071</v>
      </c>
      <c r="D19" s="12">
        <v>172890</v>
      </c>
      <c r="E19" s="22">
        <f t="shared" si="3"/>
        <v>92181</v>
      </c>
      <c r="F19" s="22">
        <v>7695</v>
      </c>
      <c r="G19" s="22">
        <v>23143</v>
      </c>
      <c r="H19" s="22">
        <v>61343</v>
      </c>
      <c r="I19" s="22">
        <f t="shared" si="4"/>
        <v>308922.37699999998</v>
      </c>
      <c r="J19" s="24">
        <v>172890</v>
      </c>
      <c r="K19" s="24">
        <f t="shared" si="5"/>
        <v>136032.37700000001</v>
      </c>
      <c r="L19" s="24">
        <v>9437</v>
      </c>
      <c r="M19" s="24">
        <v>64902.377000000008</v>
      </c>
      <c r="N19" s="24">
        <v>61693</v>
      </c>
      <c r="O19" s="43">
        <f t="shared" si="1"/>
        <v>116.54325708960994</v>
      </c>
      <c r="P19" s="13">
        <f t="shared" si="1"/>
        <v>100</v>
      </c>
      <c r="Q19" s="13">
        <f t="shared" si="1"/>
        <v>147.57094954491708</v>
      </c>
      <c r="R19" s="13">
        <f t="shared" si="1"/>
        <v>122.63807667316439</v>
      </c>
      <c r="S19" s="13">
        <f t="shared" si="1"/>
        <v>280.44063863803314</v>
      </c>
      <c r="T19" s="13">
        <f t="shared" si="1"/>
        <v>100.5705622483413</v>
      </c>
      <c r="W19" s="8"/>
    </row>
    <row r="20" spans="1:23" s="6" customFormat="1" ht="15.6" x14ac:dyDescent="0.3">
      <c r="A20" s="225">
        <v>10</v>
      </c>
      <c r="B20" s="226" t="s">
        <v>154</v>
      </c>
      <c r="C20" s="12">
        <f t="shared" si="2"/>
        <v>378918</v>
      </c>
      <c r="D20" s="12">
        <v>226668</v>
      </c>
      <c r="E20" s="22">
        <f t="shared" si="3"/>
        <v>152250</v>
      </c>
      <c r="F20" s="22">
        <v>17805</v>
      </c>
      <c r="G20" s="22">
        <v>20982</v>
      </c>
      <c r="H20" s="22">
        <v>113463</v>
      </c>
      <c r="I20" s="22">
        <f t="shared" si="4"/>
        <v>414654.46299999999</v>
      </c>
      <c r="J20" s="24">
        <v>226668</v>
      </c>
      <c r="K20" s="24">
        <f t="shared" si="5"/>
        <v>187986.46299999999</v>
      </c>
      <c r="L20" s="24">
        <v>28969.308000000001</v>
      </c>
      <c r="M20" s="24">
        <v>45554.154999999999</v>
      </c>
      <c r="N20" s="24">
        <v>113463</v>
      </c>
      <c r="O20" s="43">
        <f t="shared" si="1"/>
        <v>109.43118643083729</v>
      </c>
      <c r="P20" s="13">
        <f t="shared" si="1"/>
        <v>100.00000000000001</v>
      </c>
      <c r="Q20" s="13">
        <f t="shared" si="1"/>
        <v>123.47222528735631</v>
      </c>
      <c r="R20" s="13">
        <f t="shared" si="1"/>
        <v>162.70321819713564</v>
      </c>
      <c r="S20" s="13">
        <f t="shared" si="1"/>
        <v>217.11064245543798</v>
      </c>
      <c r="T20" s="13">
        <f t="shared" si="1"/>
        <v>99.999999999999986</v>
      </c>
      <c r="W20" s="8"/>
    </row>
    <row r="21" spans="1:23" s="6" customFormat="1" ht="15.6" x14ac:dyDescent="0.3">
      <c r="A21" s="31"/>
      <c r="B21" s="32"/>
      <c r="C21" s="33"/>
      <c r="D21" s="33"/>
      <c r="E21" s="33"/>
      <c r="F21" s="33"/>
      <c r="G21" s="33"/>
      <c r="H21" s="33"/>
      <c r="I21" s="33"/>
      <c r="J21" s="44"/>
      <c r="K21" s="44"/>
      <c r="L21" s="44"/>
      <c r="M21" s="44"/>
      <c r="N21" s="44"/>
      <c r="O21" s="44"/>
      <c r="P21" s="33"/>
      <c r="Q21" s="33"/>
      <c r="R21" s="33"/>
      <c r="S21" s="33"/>
      <c r="T21" s="33"/>
      <c r="W21" s="8"/>
    </row>
    <row r="22" spans="1:23" s="6" customFormat="1" ht="15.6" x14ac:dyDescent="0.3">
      <c r="A22" s="5"/>
      <c r="C22" s="14"/>
      <c r="D22" s="14"/>
      <c r="E22" s="14"/>
      <c r="F22" s="14"/>
      <c r="G22" s="14"/>
      <c r="H22" s="14"/>
      <c r="I22" s="14"/>
      <c r="J22" s="14"/>
      <c r="K22" s="14"/>
      <c r="L22" s="14"/>
      <c r="M22" s="14"/>
      <c r="N22" s="14"/>
      <c r="O22" s="14"/>
      <c r="P22" s="14"/>
      <c r="Q22" s="14"/>
      <c r="R22" s="14"/>
      <c r="S22" s="14"/>
      <c r="T22" s="14"/>
    </row>
    <row r="23" spans="1:23" x14ac:dyDescent="0.25">
      <c r="I23" s="45"/>
    </row>
    <row r="24" spans="1:23" x14ac:dyDescent="0.25">
      <c r="J24" s="28"/>
    </row>
    <row r="38" spans="4:5" x14ac:dyDescent="0.25">
      <c r="D38" s="274"/>
      <c r="E38" s="274"/>
    </row>
    <row r="39" spans="4:5" x14ac:dyDescent="0.25">
      <c r="D39" s="275"/>
      <c r="E39" s="274"/>
    </row>
    <row r="40" spans="4:5" x14ac:dyDescent="0.25">
      <c r="D40" s="275"/>
      <c r="E40" s="274"/>
    </row>
    <row r="41" spans="4:5" x14ac:dyDescent="0.25">
      <c r="D41" s="275"/>
      <c r="E41" s="274"/>
    </row>
    <row r="42" spans="4:5" x14ac:dyDescent="0.25">
      <c r="D42" s="275"/>
      <c r="E42" s="274"/>
    </row>
    <row r="43" spans="4:5" x14ac:dyDescent="0.25">
      <c r="D43" s="275"/>
      <c r="E43" s="274"/>
    </row>
    <row r="44" spans="4:5" x14ac:dyDescent="0.25">
      <c r="D44" s="275"/>
      <c r="E44" s="274"/>
    </row>
    <row r="45" spans="4:5" x14ac:dyDescent="0.25">
      <c r="D45" s="275"/>
      <c r="E45" s="274"/>
    </row>
    <row r="46" spans="4:5" x14ac:dyDescent="0.25">
      <c r="D46" s="275"/>
      <c r="E46" s="274"/>
    </row>
    <row r="47" spans="4:5" x14ac:dyDescent="0.25">
      <c r="D47" s="275"/>
      <c r="E47" s="274"/>
    </row>
    <row r="48" spans="4:5" x14ac:dyDescent="0.25">
      <c r="D48" s="275"/>
      <c r="E48" s="274"/>
    </row>
    <row r="49" spans="4:5" x14ac:dyDescent="0.25">
      <c r="D49" s="274"/>
      <c r="E49" s="274"/>
    </row>
    <row r="50" spans="4:5" x14ac:dyDescent="0.25">
      <c r="D50" s="274"/>
      <c r="E50" s="274"/>
    </row>
    <row r="51" spans="4:5" x14ac:dyDescent="0.25">
      <c r="D51" s="274"/>
      <c r="E51" s="274"/>
    </row>
  </sheetData>
  <mergeCells count="16">
    <mergeCell ref="K7:N7"/>
    <mergeCell ref="O7:O8"/>
    <mergeCell ref="P7:P8"/>
    <mergeCell ref="Q7:T7"/>
    <mergeCell ref="A3:T3"/>
    <mergeCell ref="A4:T4"/>
    <mergeCell ref="A6:A8"/>
    <mergeCell ref="B6:B8"/>
    <mergeCell ref="C6:H6"/>
    <mergeCell ref="I6:N6"/>
    <mergeCell ref="O6:T6"/>
    <mergeCell ref="C7:C8"/>
    <mergeCell ref="D7:D8"/>
    <mergeCell ref="E7:H7"/>
    <mergeCell ref="I7:I8"/>
    <mergeCell ref="J7:J8"/>
  </mergeCells>
  <printOptions horizontalCentered="1"/>
  <pageMargins left="0" right="0" top="0.74803149606299213" bottom="0.23622047244094491"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45"/>
  <sheetViews>
    <sheetView showZeros="0" zoomScale="90" zoomScaleNormal="90" workbookViewId="0">
      <pane xSplit="2" ySplit="10" topLeftCell="C11" activePane="bottomRight" state="frozen"/>
      <selection pane="topRight" activeCell="C1" sqref="C1"/>
      <selection pane="bottomLeft" activeCell="A11" sqref="A11"/>
      <selection pane="bottomRight" activeCell="T13" sqref="T13"/>
    </sheetView>
  </sheetViews>
  <sheetFormatPr defaultColWidth="9.109375" defaultRowHeight="13.8" outlineLevelCol="1" x14ac:dyDescent="0.25"/>
  <cols>
    <col min="1" max="1" width="5.5546875" style="227" customWidth="1"/>
    <col min="2" max="2" width="25" style="227" customWidth="1"/>
    <col min="3" max="3" width="12.44140625" style="175" customWidth="1"/>
    <col min="4" max="4" width="9.109375" style="175" customWidth="1"/>
    <col min="5" max="5" width="8.44140625" style="175" customWidth="1"/>
    <col min="6" max="7" width="9.109375" style="175" hidden="1" customWidth="1" outlineLevel="1"/>
    <col min="8" max="8" width="8.88671875" style="175" hidden="1" customWidth="1" outlineLevel="1"/>
    <col min="9" max="12" width="9.109375" style="175" hidden="1" customWidth="1" outlineLevel="1"/>
    <col min="13" max="13" width="11.88671875" style="175" hidden="1" customWidth="1" outlineLevel="1"/>
    <col min="14" max="14" width="10.44140625" style="175" hidden="1" customWidth="1" outlineLevel="1"/>
    <col min="15" max="16" width="9.109375" style="175" hidden="1" customWidth="1" outlineLevel="1"/>
    <col min="17" max="17" width="10.44140625" style="175" hidden="1" customWidth="1" outlineLevel="1"/>
    <col min="18" max="19" width="9.109375" style="175" hidden="1" customWidth="1" outlineLevel="1"/>
    <col min="20" max="20" width="11" style="227" customWidth="1" collapsed="1"/>
    <col min="21" max="36" width="9.109375" style="227" customWidth="1"/>
    <col min="37" max="37" width="9.109375" style="227"/>
    <col min="38" max="39" width="9.109375" style="227" customWidth="1"/>
    <col min="40" max="53" width="9.109375" style="227" hidden="1" customWidth="1" outlineLevel="1"/>
    <col min="54" max="54" width="9.109375" style="227" collapsed="1"/>
    <col min="55" max="256" width="9.109375" style="227"/>
    <col min="257" max="257" width="5.5546875" style="227" customWidth="1"/>
    <col min="258" max="258" width="25" style="227" customWidth="1"/>
    <col min="259" max="259" width="12.44140625" style="227" customWidth="1"/>
    <col min="260" max="260" width="9.109375" style="227" customWidth="1"/>
    <col min="261" max="261" width="8.44140625" style="227" customWidth="1"/>
    <col min="262" max="263" width="9.109375" style="227" customWidth="1"/>
    <col min="264" max="264" width="8.88671875" style="227" customWidth="1"/>
    <col min="265" max="268" width="9.109375" style="227" customWidth="1"/>
    <col min="269" max="269" width="11.88671875" style="227" customWidth="1"/>
    <col min="270" max="270" width="10.44140625" style="227" customWidth="1"/>
    <col min="271" max="272" width="9.109375" style="227" customWidth="1"/>
    <col min="273" max="273" width="10.44140625" style="227" customWidth="1"/>
    <col min="274" max="275" width="9.109375" style="227" customWidth="1"/>
    <col min="276" max="276" width="11" style="227" customWidth="1"/>
    <col min="277" max="292" width="9.109375" style="227" customWidth="1"/>
    <col min="293" max="293" width="9.109375" style="227"/>
    <col min="294" max="309" width="9.109375" style="227" customWidth="1"/>
    <col min="310" max="512" width="9.109375" style="227"/>
    <col min="513" max="513" width="5.5546875" style="227" customWidth="1"/>
    <col min="514" max="514" width="25" style="227" customWidth="1"/>
    <col min="515" max="515" width="12.44140625" style="227" customWidth="1"/>
    <col min="516" max="516" width="9.109375" style="227" customWidth="1"/>
    <col min="517" max="517" width="8.44140625" style="227" customWidth="1"/>
    <col min="518" max="519" width="9.109375" style="227" customWidth="1"/>
    <col min="520" max="520" width="8.88671875" style="227" customWidth="1"/>
    <col min="521" max="524" width="9.109375" style="227" customWidth="1"/>
    <col min="525" max="525" width="11.88671875" style="227" customWidth="1"/>
    <col min="526" max="526" width="10.44140625" style="227" customWidth="1"/>
    <col min="527" max="528" width="9.109375" style="227" customWidth="1"/>
    <col min="529" max="529" width="10.44140625" style="227" customWidth="1"/>
    <col min="530" max="531" width="9.109375" style="227" customWidth="1"/>
    <col min="532" max="532" width="11" style="227" customWidth="1"/>
    <col min="533" max="548" width="9.109375" style="227" customWidth="1"/>
    <col min="549" max="549" width="9.109375" style="227"/>
    <col min="550" max="565" width="9.109375" style="227" customWidth="1"/>
    <col min="566" max="768" width="9.109375" style="227"/>
    <col min="769" max="769" width="5.5546875" style="227" customWidth="1"/>
    <col min="770" max="770" width="25" style="227" customWidth="1"/>
    <col min="771" max="771" width="12.44140625" style="227" customWidth="1"/>
    <col min="772" max="772" width="9.109375" style="227" customWidth="1"/>
    <col min="773" max="773" width="8.44140625" style="227" customWidth="1"/>
    <col min="774" max="775" width="9.109375" style="227" customWidth="1"/>
    <col min="776" max="776" width="8.88671875" style="227" customWidth="1"/>
    <col min="777" max="780" width="9.109375" style="227" customWidth="1"/>
    <col min="781" max="781" width="11.88671875" style="227" customWidth="1"/>
    <col min="782" max="782" width="10.44140625" style="227" customWidth="1"/>
    <col min="783" max="784" width="9.109375" style="227" customWidth="1"/>
    <col min="785" max="785" width="10.44140625" style="227" customWidth="1"/>
    <col min="786" max="787" width="9.109375" style="227" customWidth="1"/>
    <col min="788" max="788" width="11" style="227" customWidth="1"/>
    <col min="789" max="804" width="9.109375" style="227" customWidth="1"/>
    <col min="805" max="805" width="9.109375" style="227"/>
    <col min="806" max="821" width="9.109375" style="227" customWidth="1"/>
    <col min="822" max="1024" width="9.109375" style="227"/>
    <col min="1025" max="1025" width="5.5546875" style="227" customWidth="1"/>
    <col min="1026" max="1026" width="25" style="227" customWidth="1"/>
    <col min="1027" max="1027" width="12.44140625" style="227" customWidth="1"/>
    <col min="1028" max="1028" width="9.109375" style="227" customWidth="1"/>
    <col min="1029" max="1029" width="8.44140625" style="227" customWidth="1"/>
    <col min="1030" max="1031" width="9.109375" style="227" customWidth="1"/>
    <col min="1032" max="1032" width="8.88671875" style="227" customWidth="1"/>
    <col min="1033" max="1036" width="9.109375" style="227" customWidth="1"/>
    <col min="1037" max="1037" width="11.88671875" style="227" customWidth="1"/>
    <col min="1038" max="1038" width="10.44140625" style="227" customWidth="1"/>
    <col min="1039" max="1040" width="9.109375" style="227" customWidth="1"/>
    <col min="1041" max="1041" width="10.44140625" style="227" customWidth="1"/>
    <col min="1042" max="1043" width="9.109375" style="227" customWidth="1"/>
    <col min="1044" max="1044" width="11" style="227" customWidth="1"/>
    <col min="1045" max="1060" width="9.109375" style="227" customWidth="1"/>
    <col min="1061" max="1061" width="9.109375" style="227"/>
    <col min="1062" max="1077" width="9.109375" style="227" customWidth="1"/>
    <col min="1078" max="1280" width="9.109375" style="227"/>
    <col min="1281" max="1281" width="5.5546875" style="227" customWidth="1"/>
    <col min="1282" max="1282" width="25" style="227" customWidth="1"/>
    <col min="1283" max="1283" width="12.44140625" style="227" customWidth="1"/>
    <col min="1284" max="1284" width="9.109375" style="227" customWidth="1"/>
    <col min="1285" max="1285" width="8.44140625" style="227" customWidth="1"/>
    <col min="1286" max="1287" width="9.109375" style="227" customWidth="1"/>
    <col min="1288" max="1288" width="8.88671875" style="227" customWidth="1"/>
    <col min="1289" max="1292" width="9.109375" style="227" customWidth="1"/>
    <col min="1293" max="1293" width="11.88671875" style="227" customWidth="1"/>
    <col min="1294" max="1294" width="10.44140625" style="227" customWidth="1"/>
    <col min="1295" max="1296" width="9.109375" style="227" customWidth="1"/>
    <col min="1297" max="1297" width="10.44140625" style="227" customWidth="1"/>
    <col min="1298" max="1299" width="9.109375" style="227" customWidth="1"/>
    <col min="1300" max="1300" width="11" style="227" customWidth="1"/>
    <col min="1301" max="1316" width="9.109375" style="227" customWidth="1"/>
    <col min="1317" max="1317" width="9.109375" style="227"/>
    <col min="1318" max="1333" width="9.109375" style="227" customWidth="1"/>
    <col min="1334" max="1536" width="9.109375" style="227"/>
    <col min="1537" max="1537" width="5.5546875" style="227" customWidth="1"/>
    <col min="1538" max="1538" width="25" style="227" customWidth="1"/>
    <col min="1539" max="1539" width="12.44140625" style="227" customWidth="1"/>
    <col min="1540" max="1540" width="9.109375" style="227" customWidth="1"/>
    <col min="1541" max="1541" width="8.44140625" style="227" customWidth="1"/>
    <col min="1542" max="1543" width="9.109375" style="227" customWidth="1"/>
    <col min="1544" max="1544" width="8.88671875" style="227" customWidth="1"/>
    <col min="1545" max="1548" width="9.109375" style="227" customWidth="1"/>
    <col min="1549" max="1549" width="11.88671875" style="227" customWidth="1"/>
    <col min="1550" max="1550" width="10.44140625" style="227" customWidth="1"/>
    <col min="1551" max="1552" width="9.109375" style="227" customWidth="1"/>
    <col min="1553" max="1553" width="10.44140625" style="227" customWidth="1"/>
    <col min="1554" max="1555" width="9.109375" style="227" customWidth="1"/>
    <col min="1556" max="1556" width="11" style="227" customWidth="1"/>
    <col min="1557" max="1572" width="9.109375" style="227" customWidth="1"/>
    <col min="1573" max="1573" width="9.109375" style="227"/>
    <col min="1574" max="1589" width="9.109375" style="227" customWidth="1"/>
    <col min="1590" max="1792" width="9.109375" style="227"/>
    <col min="1793" max="1793" width="5.5546875" style="227" customWidth="1"/>
    <col min="1794" max="1794" width="25" style="227" customWidth="1"/>
    <col min="1795" max="1795" width="12.44140625" style="227" customWidth="1"/>
    <col min="1796" max="1796" width="9.109375" style="227" customWidth="1"/>
    <col min="1797" max="1797" width="8.44140625" style="227" customWidth="1"/>
    <col min="1798" max="1799" width="9.109375" style="227" customWidth="1"/>
    <col min="1800" max="1800" width="8.88671875" style="227" customWidth="1"/>
    <col min="1801" max="1804" width="9.109375" style="227" customWidth="1"/>
    <col min="1805" max="1805" width="11.88671875" style="227" customWidth="1"/>
    <col min="1806" max="1806" width="10.44140625" style="227" customWidth="1"/>
    <col min="1807" max="1808" width="9.109375" style="227" customWidth="1"/>
    <col min="1809" max="1809" width="10.44140625" style="227" customWidth="1"/>
    <col min="1810" max="1811" width="9.109375" style="227" customWidth="1"/>
    <col min="1812" max="1812" width="11" style="227" customWidth="1"/>
    <col min="1813" max="1828" width="9.109375" style="227" customWidth="1"/>
    <col min="1829" max="1829" width="9.109375" style="227"/>
    <col min="1830" max="1845" width="9.109375" style="227" customWidth="1"/>
    <col min="1846" max="2048" width="9.109375" style="227"/>
    <col min="2049" max="2049" width="5.5546875" style="227" customWidth="1"/>
    <col min="2050" max="2050" width="25" style="227" customWidth="1"/>
    <col min="2051" max="2051" width="12.44140625" style="227" customWidth="1"/>
    <col min="2052" max="2052" width="9.109375" style="227" customWidth="1"/>
    <col min="2053" max="2053" width="8.44140625" style="227" customWidth="1"/>
    <col min="2054" max="2055" width="9.109375" style="227" customWidth="1"/>
    <col min="2056" max="2056" width="8.88671875" style="227" customWidth="1"/>
    <col min="2057" max="2060" width="9.109375" style="227" customWidth="1"/>
    <col min="2061" max="2061" width="11.88671875" style="227" customWidth="1"/>
    <col min="2062" max="2062" width="10.44140625" style="227" customWidth="1"/>
    <col min="2063" max="2064" width="9.109375" style="227" customWidth="1"/>
    <col min="2065" max="2065" width="10.44140625" style="227" customWidth="1"/>
    <col min="2066" max="2067" width="9.109375" style="227" customWidth="1"/>
    <col min="2068" max="2068" width="11" style="227" customWidth="1"/>
    <col min="2069" max="2084" width="9.109375" style="227" customWidth="1"/>
    <col min="2085" max="2085" width="9.109375" style="227"/>
    <col min="2086" max="2101" width="9.109375" style="227" customWidth="1"/>
    <col min="2102" max="2304" width="9.109375" style="227"/>
    <col min="2305" max="2305" width="5.5546875" style="227" customWidth="1"/>
    <col min="2306" max="2306" width="25" style="227" customWidth="1"/>
    <col min="2307" max="2307" width="12.44140625" style="227" customWidth="1"/>
    <col min="2308" max="2308" width="9.109375" style="227" customWidth="1"/>
    <col min="2309" max="2309" width="8.44140625" style="227" customWidth="1"/>
    <col min="2310" max="2311" width="9.109375" style="227" customWidth="1"/>
    <col min="2312" max="2312" width="8.88671875" style="227" customWidth="1"/>
    <col min="2313" max="2316" width="9.109375" style="227" customWidth="1"/>
    <col min="2317" max="2317" width="11.88671875" style="227" customWidth="1"/>
    <col min="2318" max="2318" width="10.44140625" style="227" customWidth="1"/>
    <col min="2319" max="2320" width="9.109375" style="227" customWidth="1"/>
    <col min="2321" max="2321" width="10.44140625" style="227" customWidth="1"/>
    <col min="2322" max="2323" width="9.109375" style="227" customWidth="1"/>
    <col min="2324" max="2324" width="11" style="227" customWidth="1"/>
    <col min="2325" max="2340" width="9.109375" style="227" customWidth="1"/>
    <col min="2341" max="2341" width="9.109375" style="227"/>
    <col min="2342" max="2357" width="9.109375" style="227" customWidth="1"/>
    <col min="2358" max="2560" width="9.109375" style="227"/>
    <col min="2561" max="2561" width="5.5546875" style="227" customWidth="1"/>
    <col min="2562" max="2562" width="25" style="227" customWidth="1"/>
    <col min="2563" max="2563" width="12.44140625" style="227" customWidth="1"/>
    <col min="2564" max="2564" width="9.109375" style="227" customWidth="1"/>
    <col min="2565" max="2565" width="8.44140625" style="227" customWidth="1"/>
    <col min="2566" max="2567" width="9.109375" style="227" customWidth="1"/>
    <col min="2568" max="2568" width="8.88671875" style="227" customWidth="1"/>
    <col min="2569" max="2572" width="9.109375" style="227" customWidth="1"/>
    <col min="2573" max="2573" width="11.88671875" style="227" customWidth="1"/>
    <col min="2574" max="2574" width="10.44140625" style="227" customWidth="1"/>
    <col min="2575" max="2576" width="9.109375" style="227" customWidth="1"/>
    <col min="2577" max="2577" width="10.44140625" style="227" customWidth="1"/>
    <col min="2578" max="2579" width="9.109375" style="227" customWidth="1"/>
    <col min="2580" max="2580" width="11" style="227" customWidth="1"/>
    <col min="2581" max="2596" width="9.109375" style="227" customWidth="1"/>
    <col min="2597" max="2597" width="9.109375" style="227"/>
    <col min="2598" max="2613" width="9.109375" style="227" customWidth="1"/>
    <col min="2614" max="2816" width="9.109375" style="227"/>
    <col min="2817" max="2817" width="5.5546875" style="227" customWidth="1"/>
    <col min="2818" max="2818" width="25" style="227" customWidth="1"/>
    <col min="2819" max="2819" width="12.44140625" style="227" customWidth="1"/>
    <col min="2820" max="2820" width="9.109375" style="227" customWidth="1"/>
    <col min="2821" max="2821" width="8.44140625" style="227" customWidth="1"/>
    <col min="2822" max="2823" width="9.109375" style="227" customWidth="1"/>
    <col min="2824" max="2824" width="8.88671875" style="227" customWidth="1"/>
    <col min="2825" max="2828" width="9.109375" style="227" customWidth="1"/>
    <col min="2829" max="2829" width="11.88671875" style="227" customWidth="1"/>
    <col min="2830" max="2830" width="10.44140625" style="227" customWidth="1"/>
    <col min="2831" max="2832" width="9.109375" style="227" customWidth="1"/>
    <col min="2833" max="2833" width="10.44140625" style="227" customWidth="1"/>
    <col min="2834" max="2835" width="9.109375" style="227" customWidth="1"/>
    <col min="2836" max="2836" width="11" style="227" customWidth="1"/>
    <col min="2837" max="2852" width="9.109375" style="227" customWidth="1"/>
    <col min="2853" max="2853" width="9.109375" style="227"/>
    <col min="2854" max="2869" width="9.109375" style="227" customWidth="1"/>
    <col min="2870" max="3072" width="9.109375" style="227"/>
    <col min="3073" max="3073" width="5.5546875" style="227" customWidth="1"/>
    <col min="3074" max="3074" width="25" style="227" customWidth="1"/>
    <col min="3075" max="3075" width="12.44140625" style="227" customWidth="1"/>
    <col min="3076" max="3076" width="9.109375" style="227" customWidth="1"/>
    <col min="3077" max="3077" width="8.44140625" style="227" customWidth="1"/>
    <col min="3078" max="3079" width="9.109375" style="227" customWidth="1"/>
    <col min="3080" max="3080" width="8.88671875" style="227" customWidth="1"/>
    <col min="3081" max="3084" width="9.109375" style="227" customWidth="1"/>
    <col min="3085" max="3085" width="11.88671875" style="227" customWidth="1"/>
    <col min="3086" max="3086" width="10.44140625" style="227" customWidth="1"/>
    <col min="3087" max="3088" width="9.109375" style="227" customWidth="1"/>
    <col min="3089" max="3089" width="10.44140625" style="227" customWidth="1"/>
    <col min="3090" max="3091" width="9.109375" style="227" customWidth="1"/>
    <col min="3092" max="3092" width="11" style="227" customWidth="1"/>
    <col min="3093" max="3108" width="9.109375" style="227" customWidth="1"/>
    <col min="3109" max="3109" width="9.109375" style="227"/>
    <col min="3110" max="3125" width="9.109375" style="227" customWidth="1"/>
    <col min="3126" max="3328" width="9.109375" style="227"/>
    <col min="3329" max="3329" width="5.5546875" style="227" customWidth="1"/>
    <col min="3330" max="3330" width="25" style="227" customWidth="1"/>
    <col min="3331" max="3331" width="12.44140625" style="227" customWidth="1"/>
    <col min="3332" max="3332" width="9.109375" style="227" customWidth="1"/>
    <col min="3333" max="3333" width="8.44140625" style="227" customWidth="1"/>
    <col min="3334" max="3335" width="9.109375" style="227" customWidth="1"/>
    <col min="3336" max="3336" width="8.88671875" style="227" customWidth="1"/>
    <col min="3337" max="3340" width="9.109375" style="227" customWidth="1"/>
    <col min="3341" max="3341" width="11.88671875" style="227" customWidth="1"/>
    <col min="3342" max="3342" width="10.44140625" style="227" customWidth="1"/>
    <col min="3343" max="3344" width="9.109375" style="227" customWidth="1"/>
    <col min="3345" max="3345" width="10.44140625" style="227" customWidth="1"/>
    <col min="3346" max="3347" width="9.109375" style="227" customWidth="1"/>
    <col min="3348" max="3348" width="11" style="227" customWidth="1"/>
    <col min="3349" max="3364" width="9.109375" style="227" customWidth="1"/>
    <col min="3365" max="3365" width="9.109375" style="227"/>
    <col min="3366" max="3381" width="9.109375" style="227" customWidth="1"/>
    <col min="3382" max="3584" width="9.109375" style="227"/>
    <col min="3585" max="3585" width="5.5546875" style="227" customWidth="1"/>
    <col min="3586" max="3586" width="25" style="227" customWidth="1"/>
    <col min="3587" max="3587" width="12.44140625" style="227" customWidth="1"/>
    <col min="3588" max="3588" width="9.109375" style="227" customWidth="1"/>
    <col min="3589" max="3589" width="8.44140625" style="227" customWidth="1"/>
    <col min="3590" max="3591" width="9.109375" style="227" customWidth="1"/>
    <col min="3592" max="3592" width="8.88671875" style="227" customWidth="1"/>
    <col min="3593" max="3596" width="9.109375" style="227" customWidth="1"/>
    <col min="3597" max="3597" width="11.88671875" style="227" customWidth="1"/>
    <col min="3598" max="3598" width="10.44140625" style="227" customWidth="1"/>
    <col min="3599" max="3600" width="9.109375" style="227" customWidth="1"/>
    <col min="3601" max="3601" width="10.44140625" style="227" customWidth="1"/>
    <col min="3602" max="3603" width="9.109375" style="227" customWidth="1"/>
    <col min="3604" max="3604" width="11" style="227" customWidth="1"/>
    <col min="3605" max="3620" width="9.109375" style="227" customWidth="1"/>
    <col min="3621" max="3621" width="9.109375" style="227"/>
    <col min="3622" max="3637" width="9.109375" style="227" customWidth="1"/>
    <col min="3638" max="3840" width="9.109375" style="227"/>
    <col min="3841" max="3841" width="5.5546875" style="227" customWidth="1"/>
    <col min="3842" max="3842" width="25" style="227" customWidth="1"/>
    <col min="3843" max="3843" width="12.44140625" style="227" customWidth="1"/>
    <col min="3844" max="3844" width="9.109375" style="227" customWidth="1"/>
    <col min="3845" max="3845" width="8.44140625" style="227" customWidth="1"/>
    <col min="3846" max="3847" width="9.109375" style="227" customWidth="1"/>
    <col min="3848" max="3848" width="8.88671875" style="227" customWidth="1"/>
    <col min="3849" max="3852" width="9.109375" style="227" customWidth="1"/>
    <col min="3853" max="3853" width="11.88671875" style="227" customWidth="1"/>
    <col min="3854" max="3854" width="10.44140625" style="227" customWidth="1"/>
    <col min="3855" max="3856" width="9.109375" style="227" customWidth="1"/>
    <col min="3857" max="3857" width="10.44140625" style="227" customWidth="1"/>
    <col min="3858" max="3859" width="9.109375" style="227" customWidth="1"/>
    <col min="3860" max="3860" width="11" style="227" customWidth="1"/>
    <col min="3861" max="3876" width="9.109375" style="227" customWidth="1"/>
    <col min="3877" max="3877" width="9.109375" style="227"/>
    <col min="3878" max="3893" width="9.109375" style="227" customWidth="1"/>
    <col min="3894" max="4096" width="9.109375" style="227"/>
    <col min="4097" max="4097" width="5.5546875" style="227" customWidth="1"/>
    <col min="4098" max="4098" width="25" style="227" customWidth="1"/>
    <col min="4099" max="4099" width="12.44140625" style="227" customWidth="1"/>
    <col min="4100" max="4100" width="9.109375" style="227" customWidth="1"/>
    <col min="4101" max="4101" width="8.44140625" style="227" customWidth="1"/>
    <col min="4102" max="4103" width="9.109375" style="227" customWidth="1"/>
    <col min="4104" max="4104" width="8.88671875" style="227" customWidth="1"/>
    <col min="4105" max="4108" width="9.109375" style="227" customWidth="1"/>
    <col min="4109" max="4109" width="11.88671875" style="227" customWidth="1"/>
    <col min="4110" max="4110" width="10.44140625" style="227" customWidth="1"/>
    <col min="4111" max="4112" width="9.109375" style="227" customWidth="1"/>
    <col min="4113" max="4113" width="10.44140625" style="227" customWidth="1"/>
    <col min="4114" max="4115" width="9.109375" style="227" customWidth="1"/>
    <col min="4116" max="4116" width="11" style="227" customWidth="1"/>
    <col min="4117" max="4132" width="9.109375" style="227" customWidth="1"/>
    <col min="4133" max="4133" width="9.109375" style="227"/>
    <col min="4134" max="4149" width="9.109375" style="227" customWidth="1"/>
    <col min="4150" max="4352" width="9.109375" style="227"/>
    <col min="4353" max="4353" width="5.5546875" style="227" customWidth="1"/>
    <col min="4354" max="4354" width="25" style="227" customWidth="1"/>
    <col min="4355" max="4355" width="12.44140625" style="227" customWidth="1"/>
    <col min="4356" max="4356" width="9.109375" style="227" customWidth="1"/>
    <col min="4357" max="4357" width="8.44140625" style="227" customWidth="1"/>
    <col min="4358" max="4359" width="9.109375" style="227" customWidth="1"/>
    <col min="4360" max="4360" width="8.88671875" style="227" customWidth="1"/>
    <col min="4361" max="4364" width="9.109375" style="227" customWidth="1"/>
    <col min="4365" max="4365" width="11.88671875" style="227" customWidth="1"/>
    <col min="4366" max="4366" width="10.44140625" style="227" customWidth="1"/>
    <col min="4367" max="4368" width="9.109375" style="227" customWidth="1"/>
    <col min="4369" max="4369" width="10.44140625" style="227" customWidth="1"/>
    <col min="4370" max="4371" width="9.109375" style="227" customWidth="1"/>
    <col min="4372" max="4372" width="11" style="227" customWidth="1"/>
    <col min="4373" max="4388" width="9.109375" style="227" customWidth="1"/>
    <col min="4389" max="4389" width="9.109375" style="227"/>
    <col min="4390" max="4405" width="9.109375" style="227" customWidth="1"/>
    <col min="4406" max="4608" width="9.109375" style="227"/>
    <col min="4609" max="4609" width="5.5546875" style="227" customWidth="1"/>
    <col min="4610" max="4610" width="25" style="227" customWidth="1"/>
    <col min="4611" max="4611" width="12.44140625" style="227" customWidth="1"/>
    <col min="4612" max="4612" width="9.109375" style="227" customWidth="1"/>
    <col min="4613" max="4613" width="8.44140625" style="227" customWidth="1"/>
    <col min="4614" max="4615" width="9.109375" style="227" customWidth="1"/>
    <col min="4616" max="4616" width="8.88671875" style="227" customWidth="1"/>
    <col min="4617" max="4620" width="9.109375" style="227" customWidth="1"/>
    <col min="4621" max="4621" width="11.88671875" style="227" customWidth="1"/>
    <col min="4622" max="4622" width="10.44140625" style="227" customWidth="1"/>
    <col min="4623" max="4624" width="9.109375" style="227" customWidth="1"/>
    <col min="4625" max="4625" width="10.44140625" style="227" customWidth="1"/>
    <col min="4626" max="4627" width="9.109375" style="227" customWidth="1"/>
    <col min="4628" max="4628" width="11" style="227" customWidth="1"/>
    <col min="4629" max="4644" width="9.109375" style="227" customWidth="1"/>
    <col min="4645" max="4645" width="9.109375" style="227"/>
    <col min="4646" max="4661" width="9.109375" style="227" customWidth="1"/>
    <col min="4662" max="4864" width="9.109375" style="227"/>
    <col min="4865" max="4865" width="5.5546875" style="227" customWidth="1"/>
    <col min="4866" max="4866" width="25" style="227" customWidth="1"/>
    <col min="4867" max="4867" width="12.44140625" style="227" customWidth="1"/>
    <col min="4868" max="4868" width="9.109375" style="227" customWidth="1"/>
    <col min="4869" max="4869" width="8.44140625" style="227" customWidth="1"/>
    <col min="4870" max="4871" width="9.109375" style="227" customWidth="1"/>
    <col min="4872" max="4872" width="8.88671875" style="227" customWidth="1"/>
    <col min="4873" max="4876" width="9.109375" style="227" customWidth="1"/>
    <col min="4877" max="4877" width="11.88671875" style="227" customWidth="1"/>
    <col min="4878" max="4878" width="10.44140625" style="227" customWidth="1"/>
    <col min="4879" max="4880" width="9.109375" style="227" customWidth="1"/>
    <col min="4881" max="4881" width="10.44140625" style="227" customWidth="1"/>
    <col min="4882" max="4883" width="9.109375" style="227" customWidth="1"/>
    <col min="4884" max="4884" width="11" style="227" customWidth="1"/>
    <col min="4885" max="4900" width="9.109375" style="227" customWidth="1"/>
    <col min="4901" max="4901" width="9.109375" style="227"/>
    <col min="4902" max="4917" width="9.109375" style="227" customWidth="1"/>
    <col min="4918" max="5120" width="9.109375" style="227"/>
    <col min="5121" max="5121" width="5.5546875" style="227" customWidth="1"/>
    <col min="5122" max="5122" width="25" style="227" customWidth="1"/>
    <col min="5123" max="5123" width="12.44140625" style="227" customWidth="1"/>
    <col min="5124" max="5124" width="9.109375" style="227" customWidth="1"/>
    <col min="5125" max="5125" width="8.44140625" style="227" customWidth="1"/>
    <col min="5126" max="5127" width="9.109375" style="227" customWidth="1"/>
    <col min="5128" max="5128" width="8.88671875" style="227" customWidth="1"/>
    <col min="5129" max="5132" width="9.109375" style="227" customWidth="1"/>
    <col min="5133" max="5133" width="11.88671875" style="227" customWidth="1"/>
    <col min="5134" max="5134" width="10.44140625" style="227" customWidth="1"/>
    <col min="5135" max="5136" width="9.109375" style="227" customWidth="1"/>
    <col min="5137" max="5137" width="10.44140625" style="227" customWidth="1"/>
    <col min="5138" max="5139" width="9.109375" style="227" customWidth="1"/>
    <col min="5140" max="5140" width="11" style="227" customWidth="1"/>
    <col min="5141" max="5156" width="9.109375" style="227" customWidth="1"/>
    <col min="5157" max="5157" width="9.109375" style="227"/>
    <col min="5158" max="5173" width="9.109375" style="227" customWidth="1"/>
    <col min="5174" max="5376" width="9.109375" style="227"/>
    <col min="5377" max="5377" width="5.5546875" style="227" customWidth="1"/>
    <col min="5378" max="5378" width="25" style="227" customWidth="1"/>
    <col min="5379" max="5379" width="12.44140625" style="227" customWidth="1"/>
    <col min="5380" max="5380" width="9.109375" style="227" customWidth="1"/>
    <col min="5381" max="5381" width="8.44140625" style="227" customWidth="1"/>
    <col min="5382" max="5383" width="9.109375" style="227" customWidth="1"/>
    <col min="5384" max="5384" width="8.88671875" style="227" customWidth="1"/>
    <col min="5385" max="5388" width="9.109375" style="227" customWidth="1"/>
    <col min="5389" max="5389" width="11.88671875" style="227" customWidth="1"/>
    <col min="5390" max="5390" width="10.44140625" style="227" customWidth="1"/>
    <col min="5391" max="5392" width="9.109375" style="227" customWidth="1"/>
    <col min="5393" max="5393" width="10.44140625" style="227" customWidth="1"/>
    <col min="5394" max="5395" width="9.109375" style="227" customWidth="1"/>
    <col min="5396" max="5396" width="11" style="227" customWidth="1"/>
    <col min="5397" max="5412" width="9.109375" style="227" customWidth="1"/>
    <col min="5413" max="5413" width="9.109375" style="227"/>
    <col min="5414" max="5429" width="9.109375" style="227" customWidth="1"/>
    <col min="5430" max="5632" width="9.109375" style="227"/>
    <col min="5633" max="5633" width="5.5546875" style="227" customWidth="1"/>
    <col min="5634" max="5634" width="25" style="227" customWidth="1"/>
    <col min="5635" max="5635" width="12.44140625" style="227" customWidth="1"/>
    <col min="5636" max="5636" width="9.109375" style="227" customWidth="1"/>
    <col min="5637" max="5637" width="8.44140625" style="227" customWidth="1"/>
    <col min="5638" max="5639" width="9.109375" style="227" customWidth="1"/>
    <col min="5640" max="5640" width="8.88671875" style="227" customWidth="1"/>
    <col min="5641" max="5644" width="9.109375" style="227" customWidth="1"/>
    <col min="5645" max="5645" width="11.88671875" style="227" customWidth="1"/>
    <col min="5646" max="5646" width="10.44140625" style="227" customWidth="1"/>
    <col min="5647" max="5648" width="9.109375" style="227" customWidth="1"/>
    <col min="5649" max="5649" width="10.44140625" style="227" customWidth="1"/>
    <col min="5650" max="5651" width="9.109375" style="227" customWidth="1"/>
    <col min="5652" max="5652" width="11" style="227" customWidth="1"/>
    <col min="5653" max="5668" width="9.109375" style="227" customWidth="1"/>
    <col min="5669" max="5669" width="9.109375" style="227"/>
    <col min="5670" max="5685" width="9.109375" style="227" customWidth="1"/>
    <col min="5686" max="5888" width="9.109375" style="227"/>
    <col min="5889" max="5889" width="5.5546875" style="227" customWidth="1"/>
    <col min="5890" max="5890" width="25" style="227" customWidth="1"/>
    <col min="5891" max="5891" width="12.44140625" style="227" customWidth="1"/>
    <col min="5892" max="5892" width="9.109375" style="227" customWidth="1"/>
    <col min="5893" max="5893" width="8.44140625" style="227" customWidth="1"/>
    <col min="5894" max="5895" width="9.109375" style="227" customWidth="1"/>
    <col min="5896" max="5896" width="8.88671875" style="227" customWidth="1"/>
    <col min="5897" max="5900" width="9.109375" style="227" customWidth="1"/>
    <col min="5901" max="5901" width="11.88671875" style="227" customWidth="1"/>
    <col min="5902" max="5902" width="10.44140625" style="227" customWidth="1"/>
    <col min="5903" max="5904" width="9.109375" style="227" customWidth="1"/>
    <col min="5905" max="5905" width="10.44140625" style="227" customWidth="1"/>
    <col min="5906" max="5907" width="9.109375" style="227" customWidth="1"/>
    <col min="5908" max="5908" width="11" style="227" customWidth="1"/>
    <col min="5909" max="5924" width="9.109375" style="227" customWidth="1"/>
    <col min="5925" max="5925" width="9.109375" style="227"/>
    <col min="5926" max="5941" width="9.109375" style="227" customWidth="1"/>
    <col min="5942" max="6144" width="9.109375" style="227"/>
    <col min="6145" max="6145" width="5.5546875" style="227" customWidth="1"/>
    <col min="6146" max="6146" width="25" style="227" customWidth="1"/>
    <col min="6147" max="6147" width="12.44140625" style="227" customWidth="1"/>
    <col min="6148" max="6148" width="9.109375" style="227" customWidth="1"/>
    <col min="6149" max="6149" width="8.44140625" style="227" customWidth="1"/>
    <col min="6150" max="6151" width="9.109375" style="227" customWidth="1"/>
    <col min="6152" max="6152" width="8.88671875" style="227" customWidth="1"/>
    <col min="6153" max="6156" width="9.109375" style="227" customWidth="1"/>
    <col min="6157" max="6157" width="11.88671875" style="227" customWidth="1"/>
    <col min="6158" max="6158" width="10.44140625" style="227" customWidth="1"/>
    <col min="6159" max="6160" width="9.109375" style="227" customWidth="1"/>
    <col min="6161" max="6161" width="10.44140625" style="227" customWidth="1"/>
    <col min="6162" max="6163" width="9.109375" style="227" customWidth="1"/>
    <col min="6164" max="6164" width="11" style="227" customWidth="1"/>
    <col min="6165" max="6180" width="9.109375" style="227" customWidth="1"/>
    <col min="6181" max="6181" width="9.109375" style="227"/>
    <col min="6182" max="6197" width="9.109375" style="227" customWidth="1"/>
    <col min="6198" max="6400" width="9.109375" style="227"/>
    <col min="6401" max="6401" width="5.5546875" style="227" customWidth="1"/>
    <col min="6402" max="6402" width="25" style="227" customWidth="1"/>
    <col min="6403" max="6403" width="12.44140625" style="227" customWidth="1"/>
    <col min="6404" max="6404" width="9.109375" style="227" customWidth="1"/>
    <col min="6405" max="6405" width="8.44140625" style="227" customWidth="1"/>
    <col min="6406" max="6407" width="9.109375" style="227" customWidth="1"/>
    <col min="6408" max="6408" width="8.88671875" style="227" customWidth="1"/>
    <col min="6409" max="6412" width="9.109375" style="227" customWidth="1"/>
    <col min="6413" max="6413" width="11.88671875" style="227" customWidth="1"/>
    <col min="6414" max="6414" width="10.44140625" style="227" customWidth="1"/>
    <col min="6415" max="6416" width="9.109375" style="227" customWidth="1"/>
    <col min="6417" max="6417" width="10.44140625" style="227" customWidth="1"/>
    <col min="6418" max="6419" width="9.109375" style="227" customWidth="1"/>
    <col min="6420" max="6420" width="11" style="227" customWidth="1"/>
    <col min="6421" max="6436" width="9.109375" style="227" customWidth="1"/>
    <col min="6437" max="6437" width="9.109375" style="227"/>
    <col min="6438" max="6453" width="9.109375" style="227" customWidth="1"/>
    <col min="6454" max="6656" width="9.109375" style="227"/>
    <col min="6657" max="6657" width="5.5546875" style="227" customWidth="1"/>
    <col min="6658" max="6658" width="25" style="227" customWidth="1"/>
    <col min="6659" max="6659" width="12.44140625" style="227" customWidth="1"/>
    <col min="6660" max="6660" width="9.109375" style="227" customWidth="1"/>
    <col min="6661" max="6661" width="8.44140625" style="227" customWidth="1"/>
    <col min="6662" max="6663" width="9.109375" style="227" customWidth="1"/>
    <col min="6664" max="6664" width="8.88671875" style="227" customWidth="1"/>
    <col min="6665" max="6668" width="9.109375" style="227" customWidth="1"/>
    <col min="6669" max="6669" width="11.88671875" style="227" customWidth="1"/>
    <col min="6670" max="6670" width="10.44140625" style="227" customWidth="1"/>
    <col min="6671" max="6672" width="9.109375" style="227" customWidth="1"/>
    <col min="6673" max="6673" width="10.44140625" style="227" customWidth="1"/>
    <col min="6674" max="6675" width="9.109375" style="227" customWidth="1"/>
    <col min="6676" max="6676" width="11" style="227" customWidth="1"/>
    <col min="6677" max="6692" width="9.109375" style="227" customWidth="1"/>
    <col min="6693" max="6693" width="9.109375" style="227"/>
    <col min="6694" max="6709" width="9.109375" style="227" customWidth="1"/>
    <col min="6710" max="6912" width="9.109375" style="227"/>
    <col min="6913" max="6913" width="5.5546875" style="227" customWidth="1"/>
    <col min="6914" max="6914" width="25" style="227" customWidth="1"/>
    <col min="6915" max="6915" width="12.44140625" style="227" customWidth="1"/>
    <col min="6916" max="6916" width="9.109375" style="227" customWidth="1"/>
    <col min="6917" max="6917" width="8.44140625" style="227" customWidth="1"/>
    <col min="6918" max="6919" width="9.109375" style="227" customWidth="1"/>
    <col min="6920" max="6920" width="8.88671875" style="227" customWidth="1"/>
    <col min="6921" max="6924" width="9.109375" style="227" customWidth="1"/>
    <col min="6925" max="6925" width="11.88671875" style="227" customWidth="1"/>
    <col min="6926" max="6926" width="10.44140625" style="227" customWidth="1"/>
    <col min="6927" max="6928" width="9.109375" style="227" customWidth="1"/>
    <col min="6929" max="6929" width="10.44140625" style="227" customWidth="1"/>
    <col min="6930" max="6931" width="9.109375" style="227" customWidth="1"/>
    <col min="6932" max="6932" width="11" style="227" customWidth="1"/>
    <col min="6933" max="6948" width="9.109375" style="227" customWidth="1"/>
    <col min="6949" max="6949" width="9.109375" style="227"/>
    <col min="6950" max="6965" width="9.109375" style="227" customWidth="1"/>
    <col min="6966" max="7168" width="9.109375" style="227"/>
    <col min="7169" max="7169" width="5.5546875" style="227" customWidth="1"/>
    <col min="7170" max="7170" width="25" style="227" customWidth="1"/>
    <col min="7171" max="7171" width="12.44140625" style="227" customWidth="1"/>
    <col min="7172" max="7172" width="9.109375" style="227" customWidth="1"/>
    <col min="7173" max="7173" width="8.44140625" style="227" customWidth="1"/>
    <col min="7174" max="7175" width="9.109375" style="227" customWidth="1"/>
    <col min="7176" max="7176" width="8.88671875" style="227" customWidth="1"/>
    <col min="7177" max="7180" width="9.109375" style="227" customWidth="1"/>
    <col min="7181" max="7181" width="11.88671875" style="227" customWidth="1"/>
    <col min="7182" max="7182" width="10.44140625" style="227" customWidth="1"/>
    <col min="7183" max="7184" width="9.109375" style="227" customWidth="1"/>
    <col min="7185" max="7185" width="10.44140625" style="227" customWidth="1"/>
    <col min="7186" max="7187" width="9.109375" style="227" customWidth="1"/>
    <col min="7188" max="7188" width="11" style="227" customWidth="1"/>
    <col min="7189" max="7204" width="9.109375" style="227" customWidth="1"/>
    <col min="7205" max="7205" width="9.109375" style="227"/>
    <col min="7206" max="7221" width="9.109375" style="227" customWidth="1"/>
    <col min="7222" max="7424" width="9.109375" style="227"/>
    <col min="7425" max="7425" width="5.5546875" style="227" customWidth="1"/>
    <col min="7426" max="7426" width="25" style="227" customWidth="1"/>
    <col min="7427" max="7427" width="12.44140625" style="227" customWidth="1"/>
    <col min="7428" max="7428" width="9.109375" style="227" customWidth="1"/>
    <col min="7429" max="7429" width="8.44140625" style="227" customWidth="1"/>
    <col min="7430" max="7431" width="9.109375" style="227" customWidth="1"/>
    <col min="7432" max="7432" width="8.88671875" style="227" customWidth="1"/>
    <col min="7433" max="7436" width="9.109375" style="227" customWidth="1"/>
    <col min="7437" max="7437" width="11.88671875" style="227" customWidth="1"/>
    <col min="7438" max="7438" width="10.44140625" style="227" customWidth="1"/>
    <col min="7439" max="7440" width="9.109375" style="227" customWidth="1"/>
    <col min="7441" max="7441" width="10.44140625" style="227" customWidth="1"/>
    <col min="7442" max="7443" width="9.109375" style="227" customWidth="1"/>
    <col min="7444" max="7444" width="11" style="227" customWidth="1"/>
    <col min="7445" max="7460" width="9.109375" style="227" customWidth="1"/>
    <col min="7461" max="7461" width="9.109375" style="227"/>
    <col min="7462" max="7477" width="9.109375" style="227" customWidth="1"/>
    <col min="7478" max="7680" width="9.109375" style="227"/>
    <col min="7681" max="7681" width="5.5546875" style="227" customWidth="1"/>
    <col min="7682" max="7682" width="25" style="227" customWidth="1"/>
    <col min="7683" max="7683" width="12.44140625" style="227" customWidth="1"/>
    <col min="7684" max="7684" width="9.109375" style="227" customWidth="1"/>
    <col min="7685" max="7685" width="8.44140625" style="227" customWidth="1"/>
    <col min="7686" max="7687" width="9.109375" style="227" customWidth="1"/>
    <col min="7688" max="7688" width="8.88671875" style="227" customWidth="1"/>
    <col min="7689" max="7692" width="9.109375" style="227" customWidth="1"/>
    <col min="7693" max="7693" width="11.88671875" style="227" customWidth="1"/>
    <col min="7694" max="7694" width="10.44140625" style="227" customWidth="1"/>
    <col min="7695" max="7696" width="9.109375" style="227" customWidth="1"/>
    <col min="7697" max="7697" width="10.44140625" style="227" customWidth="1"/>
    <col min="7698" max="7699" width="9.109375" style="227" customWidth="1"/>
    <col min="7700" max="7700" width="11" style="227" customWidth="1"/>
    <col min="7701" max="7716" width="9.109375" style="227" customWidth="1"/>
    <col min="7717" max="7717" width="9.109375" style="227"/>
    <col min="7718" max="7733" width="9.109375" style="227" customWidth="1"/>
    <col min="7734" max="7936" width="9.109375" style="227"/>
    <col min="7937" max="7937" width="5.5546875" style="227" customWidth="1"/>
    <col min="7938" max="7938" width="25" style="227" customWidth="1"/>
    <col min="7939" max="7939" width="12.44140625" style="227" customWidth="1"/>
    <col min="7940" max="7940" width="9.109375" style="227" customWidth="1"/>
    <col min="7941" max="7941" width="8.44140625" style="227" customWidth="1"/>
    <col min="7942" max="7943" width="9.109375" style="227" customWidth="1"/>
    <col min="7944" max="7944" width="8.88671875" style="227" customWidth="1"/>
    <col min="7945" max="7948" width="9.109375" style="227" customWidth="1"/>
    <col min="7949" max="7949" width="11.88671875" style="227" customWidth="1"/>
    <col min="7950" max="7950" width="10.44140625" style="227" customWidth="1"/>
    <col min="7951" max="7952" width="9.109375" style="227" customWidth="1"/>
    <col min="7953" max="7953" width="10.44140625" style="227" customWidth="1"/>
    <col min="7954" max="7955" width="9.109375" style="227" customWidth="1"/>
    <col min="7956" max="7956" width="11" style="227" customWidth="1"/>
    <col min="7957" max="7972" width="9.109375" style="227" customWidth="1"/>
    <col min="7973" max="7973" width="9.109375" style="227"/>
    <col min="7974" max="7989" width="9.109375" style="227" customWidth="1"/>
    <col min="7990" max="8192" width="9.109375" style="227"/>
    <col min="8193" max="8193" width="5.5546875" style="227" customWidth="1"/>
    <col min="8194" max="8194" width="25" style="227" customWidth="1"/>
    <col min="8195" max="8195" width="12.44140625" style="227" customWidth="1"/>
    <col min="8196" max="8196" width="9.109375" style="227" customWidth="1"/>
    <col min="8197" max="8197" width="8.44140625" style="227" customWidth="1"/>
    <col min="8198" max="8199" width="9.109375" style="227" customWidth="1"/>
    <col min="8200" max="8200" width="8.88671875" style="227" customWidth="1"/>
    <col min="8201" max="8204" width="9.109375" style="227" customWidth="1"/>
    <col min="8205" max="8205" width="11.88671875" style="227" customWidth="1"/>
    <col min="8206" max="8206" width="10.44140625" style="227" customWidth="1"/>
    <col min="8207" max="8208" width="9.109375" style="227" customWidth="1"/>
    <col min="8209" max="8209" width="10.44140625" style="227" customWidth="1"/>
    <col min="8210" max="8211" width="9.109375" style="227" customWidth="1"/>
    <col min="8212" max="8212" width="11" style="227" customWidth="1"/>
    <col min="8213" max="8228" width="9.109375" style="227" customWidth="1"/>
    <col min="8229" max="8229" width="9.109375" style="227"/>
    <col min="8230" max="8245" width="9.109375" style="227" customWidth="1"/>
    <col min="8246" max="8448" width="9.109375" style="227"/>
    <col min="8449" max="8449" width="5.5546875" style="227" customWidth="1"/>
    <col min="8450" max="8450" width="25" style="227" customWidth="1"/>
    <col min="8451" max="8451" width="12.44140625" style="227" customWidth="1"/>
    <col min="8452" max="8452" width="9.109375" style="227" customWidth="1"/>
    <col min="8453" max="8453" width="8.44140625" style="227" customWidth="1"/>
    <col min="8454" max="8455" width="9.109375" style="227" customWidth="1"/>
    <col min="8456" max="8456" width="8.88671875" style="227" customWidth="1"/>
    <col min="8457" max="8460" width="9.109375" style="227" customWidth="1"/>
    <col min="8461" max="8461" width="11.88671875" style="227" customWidth="1"/>
    <col min="8462" max="8462" width="10.44140625" style="227" customWidth="1"/>
    <col min="8463" max="8464" width="9.109375" style="227" customWidth="1"/>
    <col min="8465" max="8465" width="10.44140625" style="227" customWidth="1"/>
    <col min="8466" max="8467" width="9.109375" style="227" customWidth="1"/>
    <col min="8468" max="8468" width="11" style="227" customWidth="1"/>
    <col min="8469" max="8484" width="9.109375" style="227" customWidth="1"/>
    <col min="8485" max="8485" width="9.109375" style="227"/>
    <col min="8486" max="8501" width="9.109375" style="227" customWidth="1"/>
    <col min="8502" max="8704" width="9.109375" style="227"/>
    <col min="8705" max="8705" width="5.5546875" style="227" customWidth="1"/>
    <col min="8706" max="8706" width="25" style="227" customWidth="1"/>
    <col min="8707" max="8707" width="12.44140625" style="227" customWidth="1"/>
    <col min="8708" max="8708" width="9.109375" style="227" customWidth="1"/>
    <col min="8709" max="8709" width="8.44140625" style="227" customWidth="1"/>
    <col min="8710" max="8711" width="9.109375" style="227" customWidth="1"/>
    <col min="8712" max="8712" width="8.88671875" style="227" customWidth="1"/>
    <col min="8713" max="8716" width="9.109375" style="227" customWidth="1"/>
    <col min="8717" max="8717" width="11.88671875" style="227" customWidth="1"/>
    <col min="8718" max="8718" width="10.44140625" style="227" customWidth="1"/>
    <col min="8719" max="8720" width="9.109375" style="227" customWidth="1"/>
    <col min="8721" max="8721" width="10.44140625" style="227" customWidth="1"/>
    <col min="8722" max="8723" width="9.109375" style="227" customWidth="1"/>
    <col min="8724" max="8724" width="11" style="227" customWidth="1"/>
    <col min="8725" max="8740" width="9.109375" style="227" customWidth="1"/>
    <col min="8741" max="8741" width="9.109375" style="227"/>
    <col min="8742" max="8757" width="9.109375" style="227" customWidth="1"/>
    <col min="8758" max="8960" width="9.109375" style="227"/>
    <col min="8961" max="8961" width="5.5546875" style="227" customWidth="1"/>
    <col min="8962" max="8962" width="25" style="227" customWidth="1"/>
    <col min="8963" max="8963" width="12.44140625" style="227" customWidth="1"/>
    <col min="8964" max="8964" width="9.109375" style="227" customWidth="1"/>
    <col min="8965" max="8965" width="8.44140625" style="227" customWidth="1"/>
    <col min="8966" max="8967" width="9.109375" style="227" customWidth="1"/>
    <col min="8968" max="8968" width="8.88671875" style="227" customWidth="1"/>
    <col min="8969" max="8972" width="9.109375" style="227" customWidth="1"/>
    <col min="8973" max="8973" width="11.88671875" style="227" customWidth="1"/>
    <col min="8974" max="8974" width="10.44140625" style="227" customWidth="1"/>
    <col min="8975" max="8976" width="9.109375" style="227" customWidth="1"/>
    <col min="8977" max="8977" width="10.44140625" style="227" customWidth="1"/>
    <col min="8978" max="8979" width="9.109375" style="227" customWidth="1"/>
    <col min="8980" max="8980" width="11" style="227" customWidth="1"/>
    <col min="8981" max="8996" width="9.109375" style="227" customWidth="1"/>
    <col min="8997" max="8997" width="9.109375" style="227"/>
    <col min="8998" max="9013" width="9.109375" style="227" customWidth="1"/>
    <col min="9014" max="9216" width="9.109375" style="227"/>
    <col min="9217" max="9217" width="5.5546875" style="227" customWidth="1"/>
    <col min="9218" max="9218" width="25" style="227" customWidth="1"/>
    <col min="9219" max="9219" width="12.44140625" style="227" customWidth="1"/>
    <col min="9220" max="9220" width="9.109375" style="227" customWidth="1"/>
    <col min="9221" max="9221" width="8.44140625" style="227" customWidth="1"/>
    <col min="9222" max="9223" width="9.109375" style="227" customWidth="1"/>
    <col min="9224" max="9224" width="8.88671875" style="227" customWidth="1"/>
    <col min="9225" max="9228" width="9.109375" style="227" customWidth="1"/>
    <col min="9229" max="9229" width="11.88671875" style="227" customWidth="1"/>
    <col min="9230" max="9230" width="10.44140625" style="227" customWidth="1"/>
    <col min="9231" max="9232" width="9.109375" style="227" customWidth="1"/>
    <col min="9233" max="9233" width="10.44140625" style="227" customWidth="1"/>
    <col min="9234" max="9235" width="9.109375" style="227" customWidth="1"/>
    <col min="9236" max="9236" width="11" style="227" customWidth="1"/>
    <col min="9237" max="9252" width="9.109375" style="227" customWidth="1"/>
    <col min="9253" max="9253" width="9.109375" style="227"/>
    <col min="9254" max="9269" width="9.109375" style="227" customWidth="1"/>
    <col min="9270" max="9472" width="9.109375" style="227"/>
    <col min="9473" max="9473" width="5.5546875" style="227" customWidth="1"/>
    <col min="9474" max="9474" width="25" style="227" customWidth="1"/>
    <col min="9475" max="9475" width="12.44140625" style="227" customWidth="1"/>
    <col min="9476" max="9476" width="9.109375" style="227" customWidth="1"/>
    <col min="9477" max="9477" width="8.44140625" style="227" customWidth="1"/>
    <col min="9478" max="9479" width="9.109375" style="227" customWidth="1"/>
    <col min="9480" max="9480" width="8.88671875" style="227" customWidth="1"/>
    <col min="9481" max="9484" width="9.109375" style="227" customWidth="1"/>
    <col min="9485" max="9485" width="11.88671875" style="227" customWidth="1"/>
    <col min="9486" max="9486" width="10.44140625" style="227" customWidth="1"/>
    <col min="9487" max="9488" width="9.109375" style="227" customWidth="1"/>
    <col min="9489" max="9489" width="10.44140625" style="227" customWidth="1"/>
    <col min="9490" max="9491" width="9.109375" style="227" customWidth="1"/>
    <col min="9492" max="9492" width="11" style="227" customWidth="1"/>
    <col min="9493" max="9508" width="9.109375" style="227" customWidth="1"/>
    <col min="9509" max="9509" width="9.109375" style="227"/>
    <col min="9510" max="9525" width="9.109375" style="227" customWidth="1"/>
    <col min="9526" max="9728" width="9.109375" style="227"/>
    <col min="9729" max="9729" width="5.5546875" style="227" customWidth="1"/>
    <col min="9730" max="9730" width="25" style="227" customWidth="1"/>
    <col min="9731" max="9731" width="12.44140625" style="227" customWidth="1"/>
    <col min="9732" max="9732" width="9.109375" style="227" customWidth="1"/>
    <col min="9733" max="9733" width="8.44140625" style="227" customWidth="1"/>
    <col min="9734" max="9735" width="9.109375" style="227" customWidth="1"/>
    <col min="9736" max="9736" width="8.88671875" style="227" customWidth="1"/>
    <col min="9737" max="9740" width="9.109375" style="227" customWidth="1"/>
    <col min="9741" max="9741" width="11.88671875" style="227" customWidth="1"/>
    <col min="9742" max="9742" width="10.44140625" style="227" customWidth="1"/>
    <col min="9743" max="9744" width="9.109375" style="227" customWidth="1"/>
    <col min="9745" max="9745" width="10.44140625" style="227" customWidth="1"/>
    <col min="9746" max="9747" width="9.109375" style="227" customWidth="1"/>
    <col min="9748" max="9748" width="11" style="227" customWidth="1"/>
    <col min="9749" max="9764" width="9.109375" style="227" customWidth="1"/>
    <col min="9765" max="9765" width="9.109375" style="227"/>
    <col min="9766" max="9781" width="9.109375" style="227" customWidth="1"/>
    <col min="9782" max="9984" width="9.109375" style="227"/>
    <col min="9985" max="9985" width="5.5546875" style="227" customWidth="1"/>
    <col min="9986" max="9986" width="25" style="227" customWidth="1"/>
    <col min="9987" max="9987" width="12.44140625" style="227" customWidth="1"/>
    <col min="9988" max="9988" width="9.109375" style="227" customWidth="1"/>
    <col min="9989" max="9989" width="8.44140625" style="227" customWidth="1"/>
    <col min="9990" max="9991" width="9.109375" style="227" customWidth="1"/>
    <col min="9992" max="9992" width="8.88671875" style="227" customWidth="1"/>
    <col min="9993" max="9996" width="9.109375" style="227" customWidth="1"/>
    <col min="9997" max="9997" width="11.88671875" style="227" customWidth="1"/>
    <col min="9998" max="9998" width="10.44140625" style="227" customWidth="1"/>
    <col min="9999" max="10000" width="9.109375" style="227" customWidth="1"/>
    <col min="10001" max="10001" width="10.44140625" style="227" customWidth="1"/>
    <col min="10002" max="10003" width="9.109375" style="227" customWidth="1"/>
    <col min="10004" max="10004" width="11" style="227" customWidth="1"/>
    <col min="10005" max="10020" width="9.109375" style="227" customWidth="1"/>
    <col min="10021" max="10021" width="9.109375" style="227"/>
    <col min="10022" max="10037" width="9.109375" style="227" customWidth="1"/>
    <col min="10038" max="10240" width="9.109375" style="227"/>
    <col min="10241" max="10241" width="5.5546875" style="227" customWidth="1"/>
    <col min="10242" max="10242" width="25" style="227" customWidth="1"/>
    <col min="10243" max="10243" width="12.44140625" style="227" customWidth="1"/>
    <col min="10244" max="10244" width="9.109375" style="227" customWidth="1"/>
    <col min="10245" max="10245" width="8.44140625" style="227" customWidth="1"/>
    <col min="10246" max="10247" width="9.109375" style="227" customWidth="1"/>
    <col min="10248" max="10248" width="8.88671875" style="227" customWidth="1"/>
    <col min="10249" max="10252" width="9.109375" style="227" customWidth="1"/>
    <col min="10253" max="10253" width="11.88671875" style="227" customWidth="1"/>
    <col min="10254" max="10254" width="10.44140625" style="227" customWidth="1"/>
    <col min="10255" max="10256" width="9.109375" style="227" customWidth="1"/>
    <col min="10257" max="10257" width="10.44140625" style="227" customWidth="1"/>
    <col min="10258" max="10259" width="9.109375" style="227" customWidth="1"/>
    <col min="10260" max="10260" width="11" style="227" customWidth="1"/>
    <col min="10261" max="10276" width="9.109375" style="227" customWidth="1"/>
    <col min="10277" max="10277" width="9.109375" style="227"/>
    <col min="10278" max="10293" width="9.109375" style="227" customWidth="1"/>
    <col min="10294" max="10496" width="9.109375" style="227"/>
    <col min="10497" max="10497" width="5.5546875" style="227" customWidth="1"/>
    <col min="10498" max="10498" width="25" style="227" customWidth="1"/>
    <col min="10499" max="10499" width="12.44140625" style="227" customWidth="1"/>
    <col min="10500" max="10500" width="9.109375" style="227" customWidth="1"/>
    <col min="10501" max="10501" width="8.44140625" style="227" customWidth="1"/>
    <col min="10502" max="10503" width="9.109375" style="227" customWidth="1"/>
    <col min="10504" max="10504" width="8.88671875" style="227" customWidth="1"/>
    <col min="10505" max="10508" width="9.109375" style="227" customWidth="1"/>
    <col min="10509" max="10509" width="11.88671875" style="227" customWidth="1"/>
    <col min="10510" max="10510" width="10.44140625" style="227" customWidth="1"/>
    <col min="10511" max="10512" width="9.109375" style="227" customWidth="1"/>
    <col min="10513" max="10513" width="10.44140625" style="227" customWidth="1"/>
    <col min="10514" max="10515" width="9.109375" style="227" customWidth="1"/>
    <col min="10516" max="10516" width="11" style="227" customWidth="1"/>
    <col min="10517" max="10532" width="9.109375" style="227" customWidth="1"/>
    <col min="10533" max="10533" width="9.109375" style="227"/>
    <col min="10534" max="10549" width="9.109375" style="227" customWidth="1"/>
    <col min="10550" max="10752" width="9.109375" style="227"/>
    <col min="10753" max="10753" width="5.5546875" style="227" customWidth="1"/>
    <col min="10754" max="10754" width="25" style="227" customWidth="1"/>
    <col min="10755" max="10755" width="12.44140625" style="227" customWidth="1"/>
    <col min="10756" max="10756" width="9.109375" style="227" customWidth="1"/>
    <col min="10757" max="10757" width="8.44140625" style="227" customWidth="1"/>
    <col min="10758" max="10759" width="9.109375" style="227" customWidth="1"/>
    <col min="10760" max="10760" width="8.88671875" style="227" customWidth="1"/>
    <col min="10761" max="10764" width="9.109375" style="227" customWidth="1"/>
    <col min="10765" max="10765" width="11.88671875" style="227" customWidth="1"/>
    <col min="10766" max="10766" width="10.44140625" style="227" customWidth="1"/>
    <col min="10767" max="10768" width="9.109375" style="227" customWidth="1"/>
    <col min="10769" max="10769" width="10.44140625" style="227" customWidth="1"/>
    <col min="10770" max="10771" width="9.109375" style="227" customWidth="1"/>
    <col min="10772" max="10772" width="11" style="227" customWidth="1"/>
    <col min="10773" max="10788" width="9.109375" style="227" customWidth="1"/>
    <col min="10789" max="10789" width="9.109375" style="227"/>
    <col min="10790" max="10805" width="9.109375" style="227" customWidth="1"/>
    <col min="10806" max="11008" width="9.109375" style="227"/>
    <col min="11009" max="11009" width="5.5546875" style="227" customWidth="1"/>
    <col min="11010" max="11010" width="25" style="227" customWidth="1"/>
    <col min="11011" max="11011" width="12.44140625" style="227" customWidth="1"/>
    <col min="11012" max="11012" width="9.109375" style="227" customWidth="1"/>
    <col min="11013" max="11013" width="8.44140625" style="227" customWidth="1"/>
    <col min="11014" max="11015" width="9.109375" style="227" customWidth="1"/>
    <col min="11016" max="11016" width="8.88671875" style="227" customWidth="1"/>
    <col min="11017" max="11020" width="9.109375" style="227" customWidth="1"/>
    <col min="11021" max="11021" width="11.88671875" style="227" customWidth="1"/>
    <col min="11022" max="11022" width="10.44140625" style="227" customWidth="1"/>
    <col min="11023" max="11024" width="9.109375" style="227" customWidth="1"/>
    <col min="11025" max="11025" width="10.44140625" style="227" customWidth="1"/>
    <col min="11026" max="11027" width="9.109375" style="227" customWidth="1"/>
    <col min="11028" max="11028" width="11" style="227" customWidth="1"/>
    <col min="11029" max="11044" width="9.109375" style="227" customWidth="1"/>
    <col min="11045" max="11045" width="9.109375" style="227"/>
    <col min="11046" max="11061" width="9.109375" style="227" customWidth="1"/>
    <col min="11062" max="11264" width="9.109375" style="227"/>
    <col min="11265" max="11265" width="5.5546875" style="227" customWidth="1"/>
    <col min="11266" max="11266" width="25" style="227" customWidth="1"/>
    <col min="11267" max="11267" width="12.44140625" style="227" customWidth="1"/>
    <col min="11268" max="11268" width="9.109375" style="227" customWidth="1"/>
    <col min="11269" max="11269" width="8.44140625" style="227" customWidth="1"/>
    <col min="11270" max="11271" width="9.109375" style="227" customWidth="1"/>
    <col min="11272" max="11272" width="8.88671875" style="227" customWidth="1"/>
    <col min="11273" max="11276" width="9.109375" style="227" customWidth="1"/>
    <col min="11277" max="11277" width="11.88671875" style="227" customWidth="1"/>
    <col min="11278" max="11278" width="10.44140625" style="227" customWidth="1"/>
    <col min="11279" max="11280" width="9.109375" style="227" customWidth="1"/>
    <col min="11281" max="11281" width="10.44140625" style="227" customWidth="1"/>
    <col min="11282" max="11283" width="9.109375" style="227" customWidth="1"/>
    <col min="11284" max="11284" width="11" style="227" customWidth="1"/>
    <col min="11285" max="11300" width="9.109375" style="227" customWidth="1"/>
    <col min="11301" max="11301" width="9.109375" style="227"/>
    <col min="11302" max="11317" width="9.109375" style="227" customWidth="1"/>
    <col min="11318" max="11520" width="9.109375" style="227"/>
    <col min="11521" max="11521" width="5.5546875" style="227" customWidth="1"/>
    <col min="11522" max="11522" width="25" style="227" customWidth="1"/>
    <col min="11523" max="11523" width="12.44140625" style="227" customWidth="1"/>
    <col min="11524" max="11524" width="9.109375" style="227" customWidth="1"/>
    <col min="11525" max="11525" width="8.44140625" style="227" customWidth="1"/>
    <col min="11526" max="11527" width="9.109375" style="227" customWidth="1"/>
    <col min="11528" max="11528" width="8.88671875" style="227" customWidth="1"/>
    <col min="11529" max="11532" width="9.109375" style="227" customWidth="1"/>
    <col min="11533" max="11533" width="11.88671875" style="227" customWidth="1"/>
    <col min="11534" max="11534" width="10.44140625" style="227" customWidth="1"/>
    <col min="11535" max="11536" width="9.109375" style="227" customWidth="1"/>
    <col min="11537" max="11537" width="10.44140625" style="227" customWidth="1"/>
    <col min="11538" max="11539" width="9.109375" style="227" customWidth="1"/>
    <col min="11540" max="11540" width="11" style="227" customWidth="1"/>
    <col min="11541" max="11556" width="9.109375" style="227" customWidth="1"/>
    <col min="11557" max="11557" width="9.109375" style="227"/>
    <col min="11558" max="11573" width="9.109375" style="227" customWidth="1"/>
    <col min="11574" max="11776" width="9.109375" style="227"/>
    <col min="11777" max="11777" width="5.5546875" style="227" customWidth="1"/>
    <col min="11778" max="11778" width="25" style="227" customWidth="1"/>
    <col min="11779" max="11779" width="12.44140625" style="227" customWidth="1"/>
    <col min="11780" max="11780" width="9.109375" style="227" customWidth="1"/>
    <col min="11781" max="11781" width="8.44140625" style="227" customWidth="1"/>
    <col min="11782" max="11783" width="9.109375" style="227" customWidth="1"/>
    <col min="11784" max="11784" width="8.88671875" style="227" customWidth="1"/>
    <col min="11785" max="11788" width="9.109375" style="227" customWidth="1"/>
    <col min="11789" max="11789" width="11.88671875" style="227" customWidth="1"/>
    <col min="11790" max="11790" width="10.44140625" style="227" customWidth="1"/>
    <col min="11791" max="11792" width="9.109375" style="227" customWidth="1"/>
    <col min="11793" max="11793" width="10.44140625" style="227" customWidth="1"/>
    <col min="11794" max="11795" width="9.109375" style="227" customWidth="1"/>
    <col min="11796" max="11796" width="11" style="227" customWidth="1"/>
    <col min="11797" max="11812" width="9.109375" style="227" customWidth="1"/>
    <col min="11813" max="11813" width="9.109375" style="227"/>
    <col min="11814" max="11829" width="9.109375" style="227" customWidth="1"/>
    <col min="11830" max="12032" width="9.109375" style="227"/>
    <col min="12033" max="12033" width="5.5546875" style="227" customWidth="1"/>
    <col min="12034" max="12034" width="25" style="227" customWidth="1"/>
    <col min="12035" max="12035" width="12.44140625" style="227" customWidth="1"/>
    <col min="12036" max="12036" width="9.109375" style="227" customWidth="1"/>
    <col min="12037" max="12037" width="8.44140625" style="227" customWidth="1"/>
    <col min="12038" max="12039" width="9.109375" style="227" customWidth="1"/>
    <col min="12040" max="12040" width="8.88671875" style="227" customWidth="1"/>
    <col min="12041" max="12044" width="9.109375" style="227" customWidth="1"/>
    <col min="12045" max="12045" width="11.88671875" style="227" customWidth="1"/>
    <col min="12046" max="12046" width="10.44140625" style="227" customWidth="1"/>
    <col min="12047" max="12048" width="9.109375" style="227" customWidth="1"/>
    <col min="12049" max="12049" width="10.44140625" style="227" customWidth="1"/>
    <col min="12050" max="12051" width="9.109375" style="227" customWidth="1"/>
    <col min="12052" max="12052" width="11" style="227" customWidth="1"/>
    <col min="12053" max="12068" width="9.109375" style="227" customWidth="1"/>
    <col min="12069" max="12069" width="9.109375" style="227"/>
    <col min="12070" max="12085" width="9.109375" style="227" customWidth="1"/>
    <col min="12086" max="12288" width="9.109375" style="227"/>
    <col min="12289" max="12289" width="5.5546875" style="227" customWidth="1"/>
    <col min="12290" max="12290" width="25" style="227" customWidth="1"/>
    <col min="12291" max="12291" width="12.44140625" style="227" customWidth="1"/>
    <col min="12292" max="12292" width="9.109375" style="227" customWidth="1"/>
    <col min="12293" max="12293" width="8.44140625" style="227" customWidth="1"/>
    <col min="12294" max="12295" width="9.109375" style="227" customWidth="1"/>
    <col min="12296" max="12296" width="8.88671875" style="227" customWidth="1"/>
    <col min="12297" max="12300" width="9.109375" style="227" customWidth="1"/>
    <col min="12301" max="12301" width="11.88671875" style="227" customWidth="1"/>
    <col min="12302" max="12302" width="10.44140625" style="227" customWidth="1"/>
    <col min="12303" max="12304" width="9.109375" style="227" customWidth="1"/>
    <col min="12305" max="12305" width="10.44140625" style="227" customWidth="1"/>
    <col min="12306" max="12307" width="9.109375" style="227" customWidth="1"/>
    <col min="12308" max="12308" width="11" style="227" customWidth="1"/>
    <col min="12309" max="12324" width="9.109375" style="227" customWidth="1"/>
    <col min="12325" max="12325" width="9.109375" style="227"/>
    <col min="12326" max="12341" width="9.109375" style="227" customWidth="1"/>
    <col min="12342" max="12544" width="9.109375" style="227"/>
    <col min="12545" max="12545" width="5.5546875" style="227" customWidth="1"/>
    <col min="12546" max="12546" width="25" style="227" customWidth="1"/>
    <col min="12547" max="12547" width="12.44140625" style="227" customWidth="1"/>
    <col min="12548" max="12548" width="9.109375" style="227" customWidth="1"/>
    <col min="12549" max="12549" width="8.44140625" style="227" customWidth="1"/>
    <col min="12550" max="12551" width="9.109375" style="227" customWidth="1"/>
    <col min="12552" max="12552" width="8.88671875" style="227" customWidth="1"/>
    <col min="12553" max="12556" width="9.109375" style="227" customWidth="1"/>
    <col min="12557" max="12557" width="11.88671875" style="227" customWidth="1"/>
    <col min="12558" max="12558" width="10.44140625" style="227" customWidth="1"/>
    <col min="12559" max="12560" width="9.109375" style="227" customWidth="1"/>
    <col min="12561" max="12561" width="10.44140625" style="227" customWidth="1"/>
    <col min="12562" max="12563" width="9.109375" style="227" customWidth="1"/>
    <col min="12564" max="12564" width="11" style="227" customWidth="1"/>
    <col min="12565" max="12580" width="9.109375" style="227" customWidth="1"/>
    <col min="12581" max="12581" width="9.109375" style="227"/>
    <col min="12582" max="12597" width="9.109375" style="227" customWidth="1"/>
    <col min="12598" max="12800" width="9.109375" style="227"/>
    <col min="12801" max="12801" width="5.5546875" style="227" customWidth="1"/>
    <col min="12802" max="12802" width="25" style="227" customWidth="1"/>
    <col min="12803" max="12803" width="12.44140625" style="227" customWidth="1"/>
    <col min="12804" max="12804" width="9.109375" style="227" customWidth="1"/>
    <col min="12805" max="12805" width="8.44140625" style="227" customWidth="1"/>
    <col min="12806" max="12807" width="9.109375" style="227" customWidth="1"/>
    <col min="12808" max="12808" width="8.88671875" style="227" customWidth="1"/>
    <col min="12809" max="12812" width="9.109375" style="227" customWidth="1"/>
    <col min="12813" max="12813" width="11.88671875" style="227" customWidth="1"/>
    <col min="12814" max="12814" width="10.44140625" style="227" customWidth="1"/>
    <col min="12815" max="12816" width="9.109375" style="227" customWidth="1"/>
    <col min="12817" max="12817" width="10.44140625" style="227" customWidth="1"/>
    <col min="12818" max="12819" width="9.109375" style="227" customWidth="1"/>
    <col min="12820" max="12820" width="11" style="227" customWidth="1"/>
    <col min="12821" max="12836" width="9.109375" style="227" customWidth="1"/>
    <col min="12837" max="12837" width="9.109375" style="227"/>
    <col min="12838" max="12853" width="9.109375" style="227" customWidth="1"/>
    <col min="12854" max="13056" width="9.109375" style="227"/>
    <col min="13057" max="13057" width="5.5546875" style="227" customWidth="1"/>
    <col min="13058" max="13058" width="25" style="227" customWidth="1"/>
    <col min="13059" max="13059" width="12.44140625" style="227" customWidth="1"/>
    <col min="13060" max="13060" width="9.109375" style="227" customWidth="1"/>
    <col min="13061" max="13061" width="8.44140625" style="227" customWidth="1"/>
    <col min="13062" max="13063" width="9.109375" style="227" customWidth="1"/>
    <col min="13064" max="13064" width="8.88671875" style="227" customWidth="1"/>
    <col min="13065" max="13068" width="9.109375" style="227" customWidth="1"/>
    <col min="13069" max="13069" width="11.88671875" style="227" customWidth="1"/>
    <col min="13070" max="13070" width="10.44140625" style="227" customWidth="1"/>
    <col min="13071" max="13072" width="9.109375" style="227" customWidth="1"/>
    <col min="13073" max="13073" width="10.44140625" style="227" customWidth="1"/>
    <col min="13074" max="13075" width="9.109375" style="227" customWidth="1"/>
    <col min="13076" max="13076" width="11" style="227" customWidth="1"/>
    <col min="13077" max="13092" width="9.109375" style="227" customWidth="1"/>
    <col min="13093" max="13093" width="9.109375" style="227"/>
    <col min="13094" max="13109" width="9.109375" style="227" customWidth="1"/>
    <col min="13110" max="13312" width="9.109375" style="227"/>
    <col min="13313" max="13313" width="5.5546875" style="227" customWidth="1"/>
    <col min="13314" max="13314" width="25" style="227" customWidth="1"/>
    <col min="13315" max="13315" width="12.44140625" style="227" customWidth="1"/>
    <col min="13316" max="13316" width="9.109375" style="227" customWidth="1"/>
    <col min="13317" max="13317" width="8.44140625" style="227" customWidth="1"/>
    <col min="13318" max="13319" width="9.109375" style="227" customWidth="1"/>
    <col min="13320" max="13320" width="8.88671875" style="227" customWidth="1"/>
    <col min="13321" max="13324" width="9.109375" style="227" customWidth="1"/>
    <col min="13325" max="13325" width="11.88671875" style="227" customWidth="1"/>
    <col min="13326" max="13326" width="10.44140625" style="227" customWidth="1"/>
    <col min="13327" max="13328" width="9.109375" style="227" customWidth="1"/>
    <col min="13329" max="13329" width="10.44140625" style="227" customWidth="1"/>
    <col min="13330" max="13331" width="9.109375" style="227" customWidth="1"/>
    <col min="13332" max="13332" width="11" style="227" customWidth="1"/>
    <col min="13333" max="13348" width="9.109375" style="227" customWidth="1"/>
    <col min="13349" max="13349" width="9.109375" style="227"/>
    <col min="13350" max="13365" width="9.109375" style="227" customWidth="1"/>
    <col min="13366" max="13568" width="9.109375" style="227"/>
    <col min="13569" max="13569" width="5.5546875" style="227" customWidth="1"/>
    <col min="13570" max="13570" width="25" style="227" customWidth="1"/>
    <col min="13571" max="13571" width="12.44140625" style="227" customWidth="1"/>
    <col min="13572" max="13572" width="9.109375" style="227" customWidth="1"/>
    <col min="13573" max="13573" width="8.44140625" style="227" customWidth="1"/>
    <col min="13574" max="13575" width="9.109375" style="227" customWidth="1"/>
    <col min="13576" max="13576" width="8.88671875" style="227" customWidth="1"/>
    <col min="13577" max="13580" width="9.109375" style="227" customWidth="1"/>
    <col min="13581" max="13581" width="11.88671875" style="227" customWidth="1"/>
    <col min="13582" max="13582" width="10.44140625" style="227" customWidth="1"/>
    <col min="13583" max="13584" width="9.109375" style="227" customWidth="1"/>
    <col min="13585" max="13585" width="10.44140625" style="227" customWidth="1"/>
    <col min="13586" max="13587" width="9.109375" style="227" customWidth="1"/>
    <col min="13588" max="13588" width="11" style="227" customWidth="1"/>
    <col min="13589" max="13604" width="9.109375" style="227" customWidth="1"/>
    <col min="13605" max="13605" width="9.109375" style="227"/>
    <col min="13606" max="13621" width="9.109375" style="227" customWidth="1"/>
    <col min="13622" max="13824" width="9.109375" style="227"/>
    <col min="13825" max="13825" width="5.5546875" style="227" customWidth="1"/>
    <col min="13826" max="13826" width="25" style="227" customWidth="1"/>
    <col min="13827" max="13827" width="12.44140625" style="227" customWidth="1"/>
    <col min="13828" max="13828" width="9.109375" style="227" customWidth="1"/>
    <col min="13829" max="13829" width="8.44140625" style="227" customWidth="1"/>
    <col min="13830" max="13831" width="9.109375" style="227" customWidth="1"/>
    <col min="13832" max="13832" width="8.88671875" style="227" customWidth="1"/>
    <col min="13833" max="13836" width="9.109375" style="227" customWidth="1"/>
    <col min="13837" max="13837" width="11.88671875" style="227" customWidth="1"/>
    <col min="13838" max="13838" width="10.44140625" style="227" customWidth="1"/>
    <col min="13839" max="13840" width="9.109375" style="227" customWidth="1"/>
    <col min="13841" max="13841" width="10.44140625" style="227" customWidth="1"/>
    <col min="13842" max="13843" width="9.109375" style="227" customWidth="1"/>
    <col min="13844" max="13844" width="11" style="227" customWidth="1"/>
    <col min="13845" max="13860" width="9.109375" style="227" customWidth="1"/>
    <col min="13861" max="13861" width="9.109375" style="227"/>
    <col min="13862" max="13877" width="9.109375" style="227" customWidth="1"/>
    <col min="13878" max="14080" width="9.109375" style="227"/>
    <col min="14081" max="14081" width="5.5546875" style="227" customWidth="1"/>
    <col min="14082" max="14082" width="25" style="227" customWidth="1"/>
    <col min="14083" max="14083" width="12.44140625" style="227" customWidth="1"/>
    <col min="14084" max="14084" width="9.109375" style="227" customWidth="1"/>
    <col min="14085" max="14085" width="8.44140625" style="227" customWidth="1"/>
    <col min="14086" max="14087" width="9.109375" style="227" customWidth="1"/>
    <col min="14088" max="14088" width="8.88671875" style="227" customWidth="1"/>
    <col min="14089" max="14092" width="9.109375" style="227" customWidth="1"/>
    <col min="14093" max="14093" width="11.88671875" style="227" customWidth="1"/>
    <col min="14094" max="14094" width="10.44140625" style="227" customWidth="1"/>
    <col min="14095" max="14096" width="9.109375" style="227" customWidth="1"/>
    <col min="14097" max="14097" width="10.44140625" style="227" customWidth="1"/>
    <col min="14098" max="14099" width="9.109375" style="227" customWidth="1"/>
    <col min="14100" max="14100" width="11" style="227" customWidth="1"/>
    <col min="14101" max="14116" width="9.109375" style="227" customWidth="1"/>
    <col min="14117" max="14117" width="9.109375" style="227"/>
    <col min="14118" max="14133" width="9.109375" style="227" customWidth="1"/>
    <col min="14134" max="14336" width="9.109375" style="227"/>
    <col min="14337" max="14337" width="5.5546875" style="227" customWidth="1"/>
    <col min="14338" max="14338" width="25" style="227" customWidth="1"/>
    <col min="14339" max="14339" width="12.44140625" style="227" customWidth="1"/>
    <col min="14340" max="14340" width="9.109375" style="227" customWidth="1"/>
    <col min="14341" max="14341" width="8.44140625" style="227" customWidth="1"/>
    <col min="14342" max="14343" width="9.109375" style="227" customWidth="1"/>
    <col min="14344" max="14344" width="8.88671875" style="227" customWidth="1"/>
    <col min="14345" max="14348" width="9.109375" style="227" customWidth="1"/>
    <col min="14349" max="14349" width="11.88671875" style="227" customWidth="1"/>
    <col min="14350" max="14350" width="10.44140625" style="227" customWidth="1"/>
    <col min="14351" max="14352" width="9.109375" style="227" customWidth="1"/>
    <col min="14353" max="14353" width="10.44140625" style="227" customWidth="1"/>
    <col min="14354" max="14355" width="9.109375" style="227" customWidth="1"/>
    <col min="14356" max="14356" width="11" style="227" customWidth="1"/>
    <col min="14357" max="14372" width="9.109375" style="227" customWidth="1"/>
    <col min="14373" max="14373" width="9.109375" style="227"/>
    <col min="14374" max="14389" width="9.109375" style="227" customWidth="1"/>
    <col min="14390" max="14592" width="9.109375" style="227"/>
    <col min="14593" max="14593" width="5.5546875" style="227" customWidth="1"/>
    <col min="14594" max="14594" width="25" style="227" customWidth="1"/>
    <col min="14595" max="14595" width="12.44140625" style="227" customWidth="1"/>
    <col min="14596" max="14596" width="9.109375" style="227" customWidth="1"/>
    <col min="14597" max="14597" width="8.44140625" style="227" customWidth="1"/>
    <col min="14598" max="14599" width="9.109375" style="227" customWidth="1"/>
    <col min="14600" max="14600" width="8.88671875" style="227" customWidth="1"/>
    <col min="14601" max="14604" width="9.109375" style="227" customWidth="1"/>
    <col min="14605" max="14605" width="11.88671875" style="227" customWidth="1"/>
    <col min="14606" max="14606" width="10.44140625" style="227" customWidth="1"/>
    <col min="14607" max="14608" width="9.109375" style="227" customWidth="1"/>
    <col min="14609" max="14609" width="10.44140625" style="227" customWidth="1"/>
    <col min="14610" max="14611" width="9.109375" style="227" customWidth="1"/>
    <col min="14612" max="14612" width="11" style="227" customWidth="1"/>
    <col min="14613" max="14628" width="9.109375" style="227" customWidth="1"/>
    <col min="14629" max="14629" width="9.109375" style="227"/>
    <col min="14630" max="14645" width="9.109375" style="227" customWidth="1"/>
    <col min="14646" max="14848" width="9.109375" style="227"/>
    <col min="14849" max="14849" width="5.5546875" style="227" customWidth="1"/>
    <col min="14850" max="14850" width="25" style="227" customWidth="1"/>
    <col min="14851" max="14851" width="12.44140625" style="227" customWidth="1"/>
    <col min="14852" max="14852" width="9.109375" style="227" customWidth="1"/>
    <col min="14853" max="14853" width="8.44140625" style="227" customWidth="1"/>
    <col min="14854" max="14855" width="9.109375" style="227" customWidth="1"/>
    <col min="14856" max="14856" width="8.88671875" style="227" customWidth="1"/>
    <col min="14857" max="14860" width="9.109375" style="227" customWidth="1"/>
    <col min="14861" max="14861" width="11.88671875" style="227" customWidth="1"/>
    <col min="14862" max="14862" width="10.44140625" style="227" customWidth="1"/>
    <col min="14863" max="14864" width="9.109375" style="227" customWidth="1"/>
    <col min="14865" max="14865" width="10.44140625" style="227" customWidth="1"/>
    <col min="14866" max="14867" width="9.109375" style="227" customWidth="1"/>
    <col min="14868" max="14868" width="11" style="227" customWidth="1"/>
    <col min="14869" max="14884" width="9.109375" style="227" customWidth="1"/>
    <col min="14885" max="14885" width="9.109375" style="227"/>
    <col min="14886" max="14901" width="9.109375" style="227" customWidth="1"/>
    <col min="14902" max="15104" width="9.109375" style="227"/>
    <col min="15105" max="15105" width="5.5546875" style="227" customWidth="1"/>
    <col min="15106" max="15106" width="25" style="227" customWidth="1"/>
    <col min="15107" max="15107" width="12.44140625" style="227" customWidth="1"/>
    <col min="15108" max="15108" width="9.109375" style="227" customWidth="1"/>
    <col min="15109" max="15109" width="8.44140625" style="227" customWidth="1"/>
    <col min="15110" max="15111" width="9.109375" style="227" customWidth="1"/>
    <col min="15112" max="15112" width="8.88671875" style="227" customWidth="1"/>
    <col min="15113" max="15116" width="9.109375" style="227" customWidth="1"/>
    <col min="15117" max="15117" width="11.88671875" style="227" customWidth="1"/>
    <col min="15118" max="15118" width="10.44140625" style="227" customWidth="1"/>
    <col min="15119" max="15120" width="9.109375" style="227" customWidth="1"/>
    <col min="15121" max="15121" width="10.44140625" style="227" customWidth="1"/>
    <col min="15122" max="15123" width="9.109375" style="227" customWidth="1"/>
    <col min="15124" max="15124" width="11" style="227" customWidth="1"/>
    <col min="15125" max="15140" width="9.109375" style="227" customWidth="1"/>
    <col min="15141" max="15141" width="9.109375" style="227"/>
    <col min="15142" max="15157" width="9.109375" style="227" customWidth="1"/>
    <col min="15158" max="15360" width="9.109375" style="227"/>
    <col min="15361" max="15361" width="5.5546875" style="227" customWidth="1"/>
    <col min="15362" max="15362" width="25" style="227" customWidth="1"/>
    <col min="15363" max="15363" width="12.44140625" style="227" customWidth="1"/>
    <col min="15364" max="15364" width="9.109375" style="227" customWidth="1"/>
    <col min="15365" max="15365" width="8.44140625" style="227" customWidth="1"/>
    <col min="15366" max="15367" width="9.109375" style="227" customWidth="1"/>
    <col min="15368" max="15368" width="8.88671875" style="227" customWidth="1"/>
    <col min="15369" max="15372" width="9.109375" style="227" customWidth="1"/>
    <col min="15373" max="15373" width="11.88671875" style="227" customWidth="1"/>
    <col min="15374" max="15374" width="10.44140625" style="227" customWidth="1"/>
    <col min="15375" max="15376" width="9.109375" style="227" customWidth="1"/>
    <col min="15377" max="15377" width="10.44140625" style="227" customWidth="1"/>
    <col min="15378" max="15379" width="9.109375" style="227" customWidth="1"/>
    <col min="15380" max="15380" width="11" style="227" customWidth="1"/>
    <col min="15381" max="15396" width="9.109375" style="227" customWidth="1"/>
    <col min="15397" max="15397" width="9.109375" style="227"/>
    <col min="15398" max="15413" width="9.109375" style="227" customWidth="1"/>
    <col min="15414" max="15616" width="9.109375" style="227"/>
    <col min="15617" max="15617" width="5.5546875" style="227" customWidth="1"/>
    <col min="15618" max="15618" width="25" style="227" customWidth="1"/>
    <col min="15619" max="15619" width="12.44140625" style="227" customWidth="1"/>
    <col min="15620" max="15620" width="9.109375" style="227" customWidth="1"/>
    <col min="15621" max="15621" width="8.44140625" style="227" customWidth="1"/>
    <col min="15622" max="15623" width="9.109375" style="227" customWidth="1"/>
    <col min="15624" max="15624" width="8.88671875" style="227" customWidth="1"/>
    <col min="15625" max="15628" width="9.109375" style="227" customWidth="1"/>
    <col min="15629" max="15629" width="11.88671875" style="227" customWidth="1"/>
    <col min="15630" max="15630" width="10.44140625" style="227" customWidth="1"/>
    <col min="15631" max="15632" width="9.109375" style="227" customWidth="1"/>
    <col min="15633" max="15633" width="10.44140625" style="227" customWidth="1"/>
    <col min="15634" max="15635" width="9.109375" style="227" customWidth="1"/>
    <col min="15636" max="15636" width="11" style="227" customWidth="1"/>
    <col min="15637" max="15652" width="9.109375" style="227" customWidth="1"/>
    <col min="15653" max="15653" width="9.109375" style="227"/>
    <col min="15654" max="15669" width="9.109375" style="227" customWidth="1"/>
    <col min="15670" max="15872" width="9.109375" style="227"/>
    <col min="15873" max="15873" width="5.5546875" style="227" customWidth="1"/>
    <col min="15874" max="15874" width="25" style="227" customWidth="1"/>
    <col min="15875" max="15875" width="12.44140625" style="227" customWidth="1"/>
    <col min="15876" max="15876" width="9.109375" style="227" customWidth="1"/>
    <col min="15877" max="15877" width="8.44140625" style="227" customWidth="1"/>
    <col min="15878" max="15879" width="9.109375" style="227" customWidth="1"/>
    <col min="15880" max="15880" width="8.88671875" style="227" customWidth="1"/>
    <col min="15881" max="15884" width="9.109375" style="227" customWidth="1"/>
    <col min="15885" max="15885" width="11.88671875" style="227" customWidth="1"/>
    <col min="15886" max="15886" width="10.44140625" style="227" customWidth="1"/>
    <col min="15887" max="15888" width="9.109375" style="227" customWidth="1"/>
    <col min="15889" max="15889" width="10.44140625" style="227" customWidth="1"/>
    <col min="15890" max="15891" width="9.109375" style="227" customWidth="1"/>
    <col min="15892" max="15892" width="11" style="227" customWidth="1"/>
    <col min="15893" max="15908" width="9.109375" style="227" customWidth="1"/>
    <col min="15909" max="15909" width="9.109375" style="227"/>
    <col min="15910" max="15925" width="9.109375" style="227" customWidth="1"/>
    <col min="15926" max="16128" width="9.109375" style="227"/>
    <col min="16129" max="16129" width="5.5546875" style="227" customWidth="1"/>
    <col min="16130" max="16130" width="25" style="227" customWidth="1"/>
    <col min="16131" max="16131" width="12.44140625" style="227" customWidth="1"/>
    <col min="16132" max="16132" width="9.109375" style="227" customWidth="1"/>
    <col min="16133" max="16133" width="8.44140625" style="227" customWidth="1"/>
    <col min="16134" max="16135" width="9.109375" style="227" customWidth="1"/>
    <col min="16136" max="16136" width="8.88671875" style="227" customWidth="1"/>
    <col min="16137" max="16140" width="9.109375" style="227" customWidth="1"/>
    <col min="16141" max="16141" width="11.88671875" style="227" customWidth="1"/>
    <col min="16142" max="16142" width="10.44140625" style="227" customWidth="1"/>
    <col min="16143" max="16144" width="9.109375" style="227" customWidth="1"/>
    <col min="16145" max="16145" width="10.44140625" style="227" customWidth="1"/>
    <col min="16146" max="16147" width="9.109375" style="227" customWidth="1"/>
    <col min="16148" max="16148" width="11" style="227" customWidth="1"/>
    <col min="16149" max="16164" width="9.109375" style="227" customWidth="1"/>
    <col min="16165" max="16165" width="9.109375" style="227"/>
    <col min="16166" max="16181" width="9.109375" style="227" customWidth="1"/>
    <col min="16182" max="16384" width="9.109375" style="227"/>
  </cols>
  <sheetData>
    <row r="1" spans="1:56" ht="15" customHeight="1" x14ac:dyDescent="0.25">
      <c r="A1" s="311"/>
      <c r="B1" s="311"/>
      <c r="Q1" s="315"/>
      <c r="R1" s="315"/>
      <c r="S1" s="315"/>
      <c r="AK1" s="73" t="s">
        <v>125</v>
      </c>
      <c r="AZ1" s="311"/>
      <c r="BA1" s="311"/>
    </row>
    <row r="2" spans="1:56" x14ac:dyDescent="0.25">
      <c r="A2" s="228"/>
    </row>
    <row r="3" spans="1:56" x14ac:dyDescent="0.25">
      <c r="A3" s="312" t="s">
        <v>256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row>
    <row r="4" spans="1:56" x14ac:dyDescent="0.25">
      <c r="A4" s="313" t="s">
        <v>538</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row>
    <row r="5" spans="1:56" ht="5.4" customHeight="1" x14ac:dyDescent="0.25">
      <c r="B5" s="229"/>
    </row>
    <row r="6" spans="1:56" x14ac:dyDescent="0.25">
      <c r="B6" s="229"/>
      <c r="R6" s="230"/>
      <c r="S6" s="230"/>
      <c r="AL6" s="313" t="s">
        <v>312</v>
      </c>
      <c r="AM6" s="313"/>
    </row>
    <row r="7" spans="1:56" s="231" customFormat="1" ht="24.75" customHeight="1" x14ac:dyDescent="0.3">
      <c r="A7" s="308" t="s">
        <v>2</v>
      </c>
      <c r="B7" s="308" t="s">
        <v>126</v>
      </c>
      <c r="C7" s="316" t="s">
        <v>37</v>
      </c>
      <c r="D7" s="316"/>
      <c r="E7" s="316"/>
      <c r="F7" s="316"/>
      <c r="G7" s="316"/>
      <c r="H7" s="316"/>
      <c r="I7" s="316"/>
      <c r="J7" s="316"/>
      <c r="K7" s="316"/>
      <c r="L7" s="316"/>
      <c r="M7" s="316"/>
      <c r="N7" s="316"/>
      <c r="O7" s="316"/>
      <c r="P7" s="316"/>
      <c r="Q7" s="316"/>
      <c r="R7" s="316"/>
      <c r="S7" s="316"/>
      <c r="T7" s="314" t="s">
        <v>5</v>
      </c>
      <c r="U7" s="314"/>
      <c r="V7" s="314"/>
      <c r="W7" s="314"/>
      <c r="X7" s="314"/>
      <c r="Y7" s="314"/>
      <c r="Z7" s="314"/>
      <c r="AA7" s="314"/>
      <c r="AB7" s="314"/>
      <c r="AC7" s="314"/>
      <c r="AD7" s="314"/>
      <c r="AE7" s="314"/>
      <c r="AF7" s="314"/>
      <c r="AG7" s="314"/>
      <c r="AH7" s="314"/>
      <c r="AI7" s="314"/>
      <c r="AJ7" s="314"/>
      <c r="AK7" s="314" t="s">
        <v>6</v>
      </c>
      <c r="AL7" s="314"/>
      <c r="AM7" s="314"/>
      <c r="AN7" s="314"/>
      <c r="AO7" s="314"/>
      <c r="AP7" s="314"/>
      <c r="AQ7" s="314"/>
      <c r="AR7" s="314"/>
      <c r="AS7" s="314"/>
      <c r="AT7" s="314"/>
      <c r="AU7" s="314"/>
      <c r="AV7" s="314"/>
      <c r="AW7" s="314"/>
      <c r="AX7" s="314"/>
      <c r="AY7" s="314"/>
      <c r="AZ7" s="314"/>
      <c r="BA7" s="314"/>
      <c r="BB7" s="263"/>
    </row>
    <row r="8" spans="1:56" x14ac:dyDescent="0.25">
      <c r="A8" s="308"/>
      <c r="B8" s="308"/>
      <c r="C8" s="309" t="s">
        <v>113</v>
      </c>
      <c r="D8" s="309" t="s">
        <v>127</v>
      </c>
      <c r="E8" s="309"/>
      <c r="F8" s="309" t="s">
        <v>133</v>
      </c>
      <c r="G8" s="309"/>
      <c r="H8" s="309"/>
      <c r="I8" s="309"/>
      <c r="J8" s="309"/>
      <c r="K8" s="309"/>
      <c r="L8" s="309"/>
      <c r="M8" s="309" t="s">
        <v>132</v>
      </c>
      <c r="N8" s="309"/>
      <c r="O8" s="309"/>
      <c r="P8" s="309"/>
      <c r="Q8" s="309"/>
      <c r="R8" s="309"/>
      <c r="S8" s="309"/>
      <c r="T8" s="308" t="s">
        <v>113</v>
      </c>
      <c r="U8" s="308" t="s">
        <v>127</v>
      </c>
      <c r="V8" s="308"/>
      <c r="W8" s="308" t="s">
        <v>133</v>
      </c>
      <c r="X8" s="308"/>
      <c r="Y8" s="308"/>
      <c r="Z8" s="308"/>
      <c r="AA8" s="308"/>
      <c r="AB8" s="308"/>
      <c r="AC8" s="308"/>
      <c r="AD8" s="308" t="s">
        <v>132</v>
      </c>
      <c r="AE8" s="308"/>
      <c r="AF8" s="308"/>
      <c r="AG8" s="308"/>
      <c r="AH8" s="308"/>
      <c r="AI8" s="308"/>
      <c r="AJ8" s="308"/>
      <c r="AK8" s="308" t="s">
        <v>113</v>
      </c>
      <c r="AL8" s="308" t="s">
        <v>127</v>
      </c>
      <c r="AM8" s="308"/>
      <c r="AN8" s="308" t="s">
        <v>133</v>
      </c>
      <c r="AO8" s="308"/>
      <c r="AP8" s="308"/>
      <c r="AQ8" s="308"/>
      <c r="AR8" s="308"/>
      <c r="AS8" s="308"/>
      <c r="AT8" s="308"/>
      <c r="AU8" s="308" t="s">
        <v>132</v>
      </c>
      <c r="AV8" s="308"/>
      <c r="AW8" s="308"/>
      <c r="AX8" s="308"/>
      <c r="AY8" s="308"/>
      <c r="AZ8" s="308"/>
      <c r="BA8" s="308"/>
    </row>
    <row r="9" spans="1:56" x14ac:dyDescent="0.25">
      <c r="A9" s="308"/>
      <c r="B9" s="308"/>
      <c r="C9" s="309"/>
      <c r="D9" s="309" t="s">
        <v>128</v>
      </c>
      <c r="E9" s="309" t="s">
        <v>129</v>
      </c>
      <c r="F9" s="309" t="s">
        <v>113</v>
      </c>
      <c r="G9" s="310" t="s">
        <v>128</v>
      </c>
      <c r="H9" s="310"/>
      <c r="I9" s="310"/>
      <c r="J9" s="310" t="s">
        <v>129</v>
      </c>
      <c r="K9" s="310"/>
      <c r="L9" s="310"/>
      <c r="M9" s="309" t="s">
        <v>113</v>
      </c>
      <c r="N9" s="310" t="s">
        <v>128</v>
      </c>
      <c r="O9" s="310"/>
      <c r="P9" s="310"/>
      <c r="Q9" s="310" t="s">
        <v>129</v>
      </c>
      <c r="R9" s="310"/>
      <c r="S9" s="310"/>
      <c r="T9" s="308"/>
      <c r="U9" s="308" t="s">
        <v>128</v>
      </c>
      <c r="V9" s="308" t="s">
        <v>129</v>
      </c>
      <c r="W9" s="308" t="s">
        <v>113</v>
      </c>
      <c r="X9" s="308" t="s">
        <v>128</v>
      </c>
      <c r="Y9" s="308"/>
      <c r="Z9" s="308"/>
      <c r="AA9" s="308" t="s">
        <v>129</v>
      </c>
      <c r="AB9" s="308"/>
      <c r="AC9" s="308"/>
      <c r="AD9" s="308" t="s">
        <v>113</v>
      </c>
      <c r="AE9" s="308" t="s">
        <v>128</v>
      </c>
      <c r="AF9" s="308"/>
      <c r="AG9" s="308"/>
      <c r="AH9" s="308" t="s">
        <v>129</v>
      </c>
      <c r="AI9" s="308"/>
      <c r="AJ9" s="308"/>
      <c r="AK9" s="308"/>
      <c r="AL9" s="308" t="s">
        <v>128</v>
      </c>
      <c r="AM9" s="308" t="s">
        <v>129</v>
      </c>
      <c r="AN9" s="308" t="s">
        <v>113</v>
      </c>
      <c r="AO9" s="317" t="s">
        <v>128</v>
      </c>
      <c r="AP9" s="317"/>
      <c r="AQ9" s="317"/>
      <c r="AR9" s="317" t="s">
        <v>129</v>
      </c>
      <c r="AS9" s="317"/>
      <c r="AT9" s="317"/>
      <c r="AU9" s="308" t="s">
        <v>113</v>
      </c>
      <c r="AV9" s="317" t="s">
        <v>128</v>
      </c>
      <c r="AW9" s="317"/>
      <c r="AX9" s="317"/>
      <c r="AY9" s="317" t="s">
        <v>129</v>
      </c>
      <c r="AZ9" s="317"/>
      <c r="BA9" s="317"/>
    </row>
    <row r="10" spans="1:56" s="254" customFormat="1" ht="46.5" customHeight="1" x14ac:dyDescent="0.25">
      <c r="A10" s="308"/>
      <c r="B10" s="308"/>
      <c r="C10" s="309"/>
      <c r="D10" s="309"/>
      <c r="E10" s="309"/>
      <c r="F10" s="309"/>
      <c r="G10" s="180" t="s">
        <v>113</v>
      </c>
      <c r="H10" s="180" t="s">
        <v>130</v>
      </c>
      <c r="I10" s="180" t="s">
        <v>131</v>
      </c>
      <c r="J10" s="180" t="s">
        <v>113</v>
      </c>
      <c r="K10" s="180" t="s">
        <v>130</v>
      </c>
      <c r="L10" s="180" t="s">
        <v>131</v>
      </c>
      <c r="M10" s="309"/>
      <c r="N10" s="180" t="s">
        <v>113</v>
      </c>
      <c r="O10" s="180" t="s">
        <v>130</v>
      </c>
      <c r="P10" s="180" t="s">
        <v>131</v>
      </c>
      <c r="Q10" s="180" t="s">
        <v>113</v>
      </c>
      <c r="R10" s="180" t="s">
        <v>130</v>
      </c>
      <c r="S10" s="180" t="s">
        <v>131</v>
      </c>
      <c r="T10" s="308"/>
      <c r="U10" s="308"/>
      <c r="V10" s="308"/>
      <c r="W10" s="308"/>
      <c r="X10" s="262" t="s">
        <v>113</v>
      </c>
      <c r="Y10" s="262" t="s">
        <v>130</v>
      </c>
      <c r="Z10" s="262" t="s">
        <v>131</v>
      </c>
      <c r="AA10" s="262" t="s">
        <v>113</v>
      </c>
      <c r="AB10" s="262" t="s">
        <v>130</v>
      </c>
      <c r="AC10" s="262" t="s">
        <v>131</v>
      </c>
      <c r="AD10" s="308"/>
      <c r="AE10" s="262" t="s">
        <v>113</v>
      </c>
      <c r="AF10" s="262" t="s">
        <v>130</v>
      </c>
      <c r="AG10" s="262" t="s">
        <v>131</v>
      </c>
      <c r="AH10" s="262" t="s">
        <v>113</v>
      </c>
      <c r="AI10" s="262" t="s">
        <v>130</v>
      </c>
      <c r="AJ10" s="262" t="s">
        <v>131</v>
      </c>
      <c r="AK10" s="308"/>
      <c r="AL10" s="308"/>
      <c r="AM10" s="308"/>
      <c r="AN10" s="308"/>
      <c r="AO10" s="262" t="s">
        <v>113</v>
      </c>
      <c r="AP10" s="262" t="s">
        <v>130</v>
      </c>
      <c r="AQ10" s="262" t="s">
        <v>131</v>
      </c>
      <c r="AR10" s="262" t="s">
        <v>113</v>
      </c>
      <c r="AS10" s="262" t="s">
        <v>130</v>
      </c>
      <c r="AT10" s="262" t="s">
        <v>131</v>
      </c>
      <c r="AU10" s="308"/>
      <c r="AV10" s="262" t="s">
        <v>113</v>
      </c>
      <c r="AW10" s="262" t="s">
        <v>130</v>
      </c>
      <c r="AX10" s="262" t="s">
        <v>131</v>
      </c>
      <c r="AY10" s="262" t="s">
        <v>113</v>
      </c>
      <c r="AZ10" s="262" t="s">
        <v>130</v>
      </c>
      <c r="BA10" s="262" t="s">
        <v>131</v>
      </c>
    </row>
    <row r="11" spans="1:56" ht="27" customHeight="1" x14ac:dyDescent="0.25">
      <c r="A11" s="233" t="s">
        <v>7</v>
      </c>
      <c r="B11" s="233" t="s">
        <v>8</v>
      </c>
      <c r="C11" s="232" t="s">
        <v>62</v>
      </c>
      <c r="D11" s="232">
        <v>2</v>
      </c>
      <c r="E11" s="232">
        <v>3</v>
      </c>
      <c r="F11" s="232"/>
      <c r="G11" s="232"/>
      <c r="H11" s="232"/>
      <c r="I11" s="232"/>
      <c r="J11" s="232"/>
      <c r="K11" s="232"/>
      <c r="L11" s="232"/>
      <c r="M11" s="232"/>
      <c r="N11" s="232"/>
      <c r="O11" s="232"/>
      <c r="P11" s="232"/>
      <c r="Q11" s="232"/>
      <c r="R11" s="232"/>
      <c r="S11" s="232"/>
      <c r="T11" s="233" t="s">
        <v>63</v>
      </c>
      <c r="U11" s="233" t="s">
        <v>480</v>
      </c>
      <c r="V11" s="233" t="s">
        <v>481</v>
      </c>
      <c r="W11" s="233" t="s">
        <v>482</v>
      </c>
      <c r="X11" s="233">
        <v>8</v>
      </c>
      <c r="Y11" s="233">
        <v>9</v>
      </c>
      <c r="Z11" s="233">
        <v>10</v>
      </c>
      <c r="AA11" s="233">
        <v>11</v>
      </c>
      <c r="AB11" s="233">
        <v>12</v>
      </c>
      <c r="AC11" s="233">
        <v>13</v>
      </c>
      <c r="AD11" s="233" t="s">
        <v>483</v>
      </c>
      <c r="AE11" s="233">
        <v>15</v>
      </c>
      <c r="AF11" s="233">
        <v>16</v>
      </c>
      <c r="AG11" s="233">
        <v>17</v>
      </c>
      <c r="AH11" s="233">
        <v>18</v>
      </c>
      <c r="AI11" s="233">
        <v>19</v>
      </c>
      <c r="AJ11" s="233">
        <v>20</v>
      </c>
      <c r="AK11" s="71" t="s">
        <v>134</v>
      </c>
      <c r="AL11" s="72" t="s">
        <v>135</v>
      </c>
      <c r="AM11" s="72" t="s">
        <v>491</v>
      </c>
      <c r="AN11" s="233" t="s">
        <v>465</v>
      </c>
      <c r="AO11" s="233" t="s">
        <v>466</v>
      </c>
      <c r="AP11" s="233" t="s">
        <v>467</v>
      </c>
      <c r="AQ11" s="233" t="s">
        <v>468</v>
      </c>
      <c r="AR11" s="233" t="s">
        <v>469</v>
      </c>
      <c r="AS11" s="233" t="s">
        <v>470</v>
      </c>
      <c r="AT11" s="233" t="s">
        <v>471</v>
      </c>
      <c r="AU11" s="233" t="s">
        <v>472</v>
      </c>
      <c r="AV11" s="233" t="s">
        <v>473</v>
      </c>
      <c r="AW11" s="233" t="s">
        <v>474</v>
      </c>
      <c r="AX11" s="233" t="s">
        <v>475</v>
      </c>
      <c r="AY11" s="233" t="s">
        <v>476</v>
      </c>
      <c r="AZ11" s="233" t="s">
        <v>477</v>
      </c>
      <c r="BA11" s="233" t="s">
        <v>478</v>
      </c>
    </row>
    <row r="12" spans="1:56" ht="25.95" customHeight="1" x14ac:dyDescent="0.25">
      <c r="A12" s="234"/>
      <c r="B12" s="235" t="s">
        <v>101</v>
      </c>
      <c r="C12" s="236">
        <f t="shared" ref="C12:AJ12" si="0">SUBTOTAL(9,C13:C42)</f>
        <v>661008</v>
      </c>
      <c r="D12" s="236">
        <f t="shared" si="0"/>
        <v>512816</v>
      </c>
      <c r="E12" s="236">
        <f t="shared" si="0"/>
        <v>148192</v>
      </c>
      <c r="F12" s="236">
        <f t="shared" si="0"/>
        <v>288518</v>
      </c>
      <c r="G12" s="236">
        <f t="shared" si="0"/>
        <v>228626</v>
      </c>
      <c r="H12" s="236">
        <f t="shared" si="0"/>
        <v>162551</v>
      </c>
      <c r="I12" s="236">
        <f t="shared" si="0"/>
        <v>66075</v>
      </c>
      <c r="J12" s="236">
        <f t="shared" si="0"/>
        <v>59892</v>
      </c>
      <c r="K12" s="236">
        <f t="shared" si="0"/>
        <v>59892</v>
      </c>
      <c r="L12" s="236">
        <f t="shared" si="0"/>
        <v>0</v>
      </c>
      <c r="M12" s="236">
        <f t="shared" si="0"/>
        <v>372490</v>
      </c>
      <c r="N12" s="236">
        <f t="shared" si="0"/>
        <v>284190</v>
      </c>
      <c r="O12" s="236">
        <f t="shared" si="0"/>
        <v>164190</v>
      </c>
      <c r="P12" s="236">
        <f t="shared" si="0"/>
        <v>120000</v>
      </c>
      <c r="Q12" s="236">
        <f t="shared" si="0"/>
        <v>88300</v>
      </c>
      <c r="R12" s="236">
        <f t="shared" si="0"/>
        <v>88300</v>
      </c>
      <c r="S12" s="236">
        <f t="shared" si="0"/>
        <v>0</v>
      </c>
      <c r="T12" s="237">
        <f t="shared" si="0"/>
        <v>690045.38341299992</v>
      </c>
      <c r="U12" s="237">
        <f t="shared" si="0"/>
        <v>549396.58079599997</v>
      </c>
      <c r="V12" s="237">
        <f t="shared" si="0"/>
        <v>140648.80261700001</v>
      </c>
      <c r="W12" s="237">
        <f t="shared" si="0"/>
        <v>316977.92241899995</v>
      </c>
      <c r="X12" s="237">
        <f t="shared" si="0"/>
        <v>259669.26376999999</v>
      </c>
      <c r="Y12" s="237">
        <f t="shared" si="0"/>
        <v>194812.15677</v>
      </c>
      <c r="Z12" s="237">
        <f t="shared" si="0"/>
        <v>64857.107000000004</v>
      </c>
      <c r="AA12" s="237">
        <f t="shared" si="0"/>
        <v>57308.65864899999</v>
      </c>
      <c r="AB12" s="237">
        <f t="shared" si="0"/>
        <v>57308.65864899999</v>
      </c>
      <c r="AC12" s="237">
        <f t="shared" si="0"/>
        <v>0</v>
      </c>
      <c r="AD12" s="237">
        <f t="shared" si="0"/>
        <v>373067.46099400008</v>
      </c>
      <c r="AE12" s="237">
        <f t="shared" si="0"/>
        <v>289727.317026</v>
      </c>
      <c r="AF12" s="237">
        <f t="shared" si="0"/>
        <v>171747.95236900004</v>
      </c>
      <c r="AG12" s="237">
        <f t="shared" si="0"/>
        <v>117979.364657</v>
      </c>
      <c r="AH12" s="237">
        <f t="shared" si="0"/>
        <v>83340.143967999989</v>
      </c>
      <c r="AI12" s="237">
        <f t="shared" si="0"/>
        <v>83340.143967999989</v>
      </c>
      <c r="AJ12" s="237">
        <f t="shared" si="0"/>
        <v>0</v>
      </c>
      <c r="AK12" s="238">
        <f t="shared" ref="AK12:AP23" si="1">T12/C12</f>
        <v>1.043928943996139</v>
      </c>
      <c r="AL12" s="238">
        <f t="shared" si="1"/>
        <v>1.0713327602804903</v>
      </c>
      <c r="AM12" s="238">
        <f t="shared" si="1"/>
        <v>0.94909848451333412</v>
      </c>
      <c r="AN12" s="238">
        <f t="shared" si="1"/>
        <v>1.0986417569059814</v>
      </c>
      <c r="AO12" s="238">
        <f t="shared" si="1"/>
        <v>1.1357818610744184</v>
      </c>
      <c r="AP12" s="238">
        <f t="shared" si="1"/>
        <v>1.1984679071183812</v>
      </c>
      <c r="AQ12" s="238"/>
      <c r="AR12" s="238">
        <f t="shared" ref="AR12:AS15" si="2">AA12/J12</f>
        <v>0.95686667082415</v>
      </c>
      <c r="AS12" s="238">
        <f t="shared" si="2"/>
        <v>0.95686667082415</v>
      </c>
      <c r="AT12" s="238"/>
      <c r="AU12" s="238">
        <f>AD12/M12</f>
        <v>1.001550272474429</v>
      </c>
      <c r="AV12" s="238">
        <f>AE12/N12</f>
        <v>1.0194845597170907</v>
      </c>
      <c r="AW12" s="238">
        <f>AF12/O12</f>
        <v>1.0460317459589503</v>
      </c>
      <c r="AX12" s="238"/>
      <c r="AY12" s="238">
        <f t="shared" ref="AY12:AZ21" si="3">AH12/Q12</f>
        <v>0.94382949001132488</v>
      </c>
      <c r="AZ12" s="238">
        <f t="shared" si="3"/>
        <v>0.94382949001132488</v>
      </c>
      <c r="BA12" s="238"/>
    </row>
    <row r="13" spans="1:56" x14ac:dyDescent="0.25">
      <c r="A13" s="169" t="s">
        <v>41</v>
      </c>
      <c r="B13" s="170" t="s">
        <v>304</v>
      </c>
      <c r="C13" s="236">
        <f t="shared" ref="C13:AJ13" si="4">SUBTOTAL(9,C14:C30)</f>
        <v>156888</v>
      </c>
      <c r="D13" s="236">
        <f t="shared" si="4"/>
        <v>143516</v>
      </c>
      <c r="E13" s="236">
        <f t="shared" si="4"/>
        <v>13372</v>
      </c>
      <c r="F13" s="236">
        <f t="shared" si="4"/>
        <v>146898</v>
      </c>
      <c r="G13" s="236">
        <f t="shared" si="4"/>
        <v>140336</v>
      </c>
      <c r="H13" s="236">
        <f t="shared" si="4"/>
        <v>140336</v>
      </c>
      <c r="I13" s="236">
        <f t="shared" si="4"/>
        <v>0</v>
      </c>
      <c r="J13" s="236">
        <f t="shared" si="4"/>
        <v>6562</v>
      </c>
      <c r="K13" s="236">
        <f t="shared" si="4"/>
        <v>6562</v>
      </c>
      <c r="L13" s="236">
        <f t="shared" si="4"/>
        <v>0</v>
      </c>
      <c r="M13" s="236">
        <f t="shared" si="4"/>
        <v>9990</v>
      </c>
      <c r="N13" s="236">
        <f t="shared" si="4"/>
        <v>3180</v>
      </c>
      <c r="O13" s="236">
        <f t="shared" si="4"/>
        <v>3180</v>
      </c>
      <c r="P13" s="236">
        <f t="shared" si="4"/>
        <v>0</v>
      </c>
      <c r="Q13" s="236">
        <f t="shared" si="4"/>
        <v>6810</v>
      </c>
      <c r="R13" s="236">
        <f t="shared" si="4"/>
        <v>6810</v>
      </c>
      <c r="S13" s="236">
        <f t="shared" si="4"/>
        <v>0</v>
      </c>
      <c r="T13" s="236">
        <f t="shared" si="4"/>
        <v>165821.893644</v>
      </c>
      <c r="U13" s="236">
        <f t="shared" si="4"/>
        <v>153995.07577000002</v>
      </c>
      <c r="V13" s="236">
        <f t="shared" si="4"/>
        <v>11826.817874</v>
      </c>
      <c r="W13" s="236">
        <f t="shared" si="4"/>
        <v>160164.07577</v>
      </c>
      <c r="X13" s="236">
        <f t="shared" si="4"/>
        <v>153995.07577000002</v>
      </c>
      <c r="Y13" s="236">
        <f t="shared" si="4"/>
        <v>153995.07577000002</v>
      </c>
      <c r="Z13" s="236">
        <f t="shared" si="4"/>
        <v>0</v>
      </c>
      <c r="AA13" s="236">
        <f t="shared" si="4"/>
        <v>6169</v>
      </c>
      <c r="AB13" s="236">
        <f t="shared" si="4"/>
        <v>6169</v>
      </c>
      <c r="AC13" s="236">
        <f t="shared" si="4"/>
        <v>0</v>
      </c>
      <c r="AD13" s="236">
        <f t="shared" si="4"/>
        <v>5657.8178740000003</v>
      </c>
      <c r="AE13" s="236">
        <f t="shared" si="4"/>
        <v>0</v>
      </c>
      <c r="AF13" s="236">
        <f t="shared" si="4"/>
        <v>0</v>
      </c>
      <c r="AG13" s="236">
        <f t="shared" si="4"/>
        <v>0</v>
      </c>
      <c r="AH13" s="236">
        <f t="shared" si="4"/>
        <v>5657.8178740000003</v>
      </c>
      <c r="AI13" s="236">
        <f t="shared" si="4"/>
        <v>5657.8178740000003</v>
      </c>
      <c r="AJ13" s="236">
        <f t="shared" si="4"/>
        <v>0</v>
      </c>
      <c r="AK13" s="238">
        <f>T13/C13</f>
        <v>1.056944403931467</v>
      </c>
      <c r="AL13" s="238"/>
      <c r="AM13" s="238">
        <f t="shared" si="1"/>
        <v>0.88444644585701471</v>
      </c>
      <c r="AN13" s="238">
        <f t="shared" si="1"/>
        <v>1.0903080761480755</v>
      </c>
      <c r="AO13" s="238"/>
      <c r="AP13" s="238"/>
      <c r="AQ13" s="238"/>
      <c r="AR13" s="238">
        <f t="shared" si="2"/>
        <v>0.94010972264553494</v>
      </c>
      <c r="AS13" s="238">
        <f t="shared" si="2"/>
        <v>0.94010972264553494</v>
      </c>
      <c r="AT13" s="238"/>
      <c r="AU13" s="238">
        <f t="shared" ref="AU13:AU21" si="5">AD13/M13</f>
        <v>0.56634813553553554</v>
      </c>
      <c r="AV13" s="238"/>
      <c r="AW13" s="238"/>
      <c r="AX13" s="238"/>
      <c r="AY13" s="238">
        <f t="shared" si="3"/>
        <v>0.83081026049926587</v>
      </c>
      <c r="AZ13" s="238">
        <f t="shared" si="3"/>
        <v>0.83081026049926587</v>
      </c>
      <c r="BA13" s="238"/>
    </row>
    <row r="14" spans="1:56" ht="21.75" customHeight="1" x14ac:dyDescent="0.25">
      <c r="A14" s="165">
        <v>1</v>
      </c>
      <c r="B14" s="171" t="s">
        <v>305</v>
      </c>
      <c r="C14" s="239">
        <f>D14+E14</f>
        <v>3890</v>
      </c>
      <c r="D14" s="240">
        <f>G14+N14</f>
        <v>0</v>
      </c>
      <c r="E14" s="240">
        <f>J14+Q14</f>
        <v>3890</v>
      </c>
      <c r="F14" s="240">
        <f>G14+J14</f>
        <v>1990</v>
      </c>
      <c r="G14" s="240">
        <f>H14+I14</f>
        <v>0</v>
      </c>
      <c r="H14" s="240"/>
      <c r="I14" s="240"/>
      <c r="J14" s="240">
        <f>K14+L14</f>
        <v>1990</v>
      </c>
      <c r="K14" s="240">
        <v>1990</v>
      </c>
      <c r="L14" s="240"/>
      <c r="M14" s="240">
        <f>N14+Q14</f>
        <v>1900</v>
      </c>
      <c r="N14" s="240">
        <f>O14+P14</f>
        <v>0</v>
      </c>
      <c r="O14" s="241"/>
      <c r="P14" s="240"/>
      <c r="Q14" s="240">
        <f>R14+S14</f>
        <v>1900</v>
      </c>
      <c r="R14" s="240">
        <v>1900</v>
      </c>
      <c r="S14" s="240"/>
      <c r="T14" s="242">
        <f>U14+V14</f>
        <v>3492</v>
      </c>
      <c r="U14" s="243">
        <f>X14+AE14</f>
        <v>0</v>
      </c>
      <c r="V14" s="243">
        <f>AA14+AH14</f>
        <v>3492</v>
      </c>
      <c r="W14" s="243">
        <f>X14+AA14</f>
        <v>1907</v>
      </c>
      <c r="X14" s="243">
        <f>Y14+Z14</f>
        <v>0</v>
      </c>
      <c r="Y14" s="244">
        <v>0</v>
      </c>
      <c r="Z14" s="243">
        <v>0</v>
      </c>
      <c r="AA14" s="243">
        <f>AB14+AC14</f>
        <v>1907</v>
      </c>
      <c r="AB14" s="243">
        <v>1907</v>
      </c>
      <c r="AC14" s="243">
        <v>0</v>
      </c>
      <c r="AD14" s="243">
        <f>AE14+AH14</f>
        <v>1585</v>
      </c>
      <c r="AE14" s="243">
        <f>AF14+AG14</f>
        <v>0</v>
      </c>
      <c r="AF14" s="243">
        <v>0</v>
      </c>
      <c r="AG14" s="243">
        <v>0</v>
      </c>
      <c r="AH14" s="243">
        <f>AI14+AJ14</f>
        <v>1585</v>
      </c>
      <c r="AI14" s="243">
        <v>1585</v>
      </c>
      <c r="AJ14" s="243">
        <v>0</v>
      </c>
      <c r="AK14" s="245">
        <f t="shared" ref="AK14:AK26" si="6">T14/C14</f>
        <v>0.89768637532133677</v>
      </c>
      <c r="AL14" s="245"/>
      <c r="AM14" s="245">
        <f t="shared" si="1"/>
        <v>0.89768637532133677</v>
      </c>
      <c r="AN14" s="245">
        <f t="shared" si="1"/>
        <v>0.95829145728643217</v>
      </c>
      <c r="AO14" s="245"/>
      <c r="AP14" s="245"/>
      <c r="AQ14" s="245"/>
      <c r="AR14" s="245">
        <f t="shared" si="2"/>
        <v>0.95829145728643217</v>
      </c>
      <c r="AS14" s="245">
        <f t="shared" si="2"/>
        <v>0.95829145728643217</v>
      </c>
      <c r="AT14" s="245"/>
      <c r="AU14" s="245">
        <f t="shared" si="5"/>
        <v>0.83421052631578951</v>
      </c>
      <c r="AV14" s="245"/>
      <c r="AW14" s="245"/>
      <c r="AX14" s="245"/>
      <c r="AY14" s="245">
        <f t="shared" si="3"/>
        <v>0.83421052631578951</v>
      </c>
      <c r="AZ14" s="245">
        <f t="shared" si="3"/>
        <v>0.83421052631578951</v>
      </c>
      <c r="BA14" s="245"/>
    </row>
    <row r="15" spans="1:56" ht="21.75" customHeight="1" x14ac:dyDescent="0.25">
      <c r="A15" s="165">
        <v>2</v>
      </c>
      <c r="B15" s="171" t="s">
        <v>306</v>
      </c>
      <c r="C15" s="239">
        <f t="shared" ref="C15:C29" si="7">D15+E15</f>
        <v>1041</v>
      </c>
      <c r="D15" s="240">
        <f t="shared" ref="D15:D29" si="8">G15+N15</f>
        <v>0</v>
      </c>
      <c r="E15" s="240">
        <f t="shared" ref="E15:E29" si="9">J15+Q15</f>
        <v>1041</v>
      </c>
      <c r="F15" s="240">
        <f t="shared" ref="F15:F29" si="10">G15+J15</f>
        <v>841</v>
      </c>
      <c r="G15" s="240">
        <f t="shared" ref="G15:G29" si="11">H15+I15</f>
        <v>0</v>
      </c>
      <c r="H15" s="240"/>
      <c r="I15" s="240"/>
      <c r="J15" s="240">
        <f t="shared" ref="J15:J29" si="12">K15+L15</f>
        <v>841</v>
      </c>
      <c r="K15" s="240">
        <v>841</v>
      </c>
      <c r="L15" s="240"/>
      <c r="M15" s="240">
        <f t="shared" ref="M15:M29" si="13">N15+Q15</f>
        <v>200</v>
      </c>
      <c r="N15" s="240">
        <f t="shared" ref="N15:N29" si="14">O15+P15</f>
        <v>0</v>
      </c>
      <c r="O15" s="241"/>
      <c r="P15" s="240"/>
      <c r="Q15" s="240">
        <f t="shared" ref="Q15:Q29" si="15">R15+S15</f>
        <v>200</v>
      </c>
      <c r="R15" s="240">
        <v>200</v>
      </c>
      <c r="S15" s="240"/>
      <c r="T15" s="242">
        <f>U15+V15</f>
        <v>662.89300000000003</v>
      </c>
      <c r="U15" s="243">
        <f t="shared" ref="U15:U29" si="16">X15+AE15</f>
        <v>0</v>
      </c>
      <c r="V15" s="243">
        <f>AA15+AH15</f>
        <v>662.89300000000003</v>
      </c>
      <c r="W15" s="243">
        <f>X15+AA15</f>
        <v>568</v>
      </c>
      <c r="X15" s="243">
        <f t="shared" ref="X15:X29" si="17">Y15+Z15</f>
        <v>0</v>
      </c>
      <c r="Y15" s="244">
        <v>0</v>
      </c>
      <c r="Z15" s="243">
        <v>0</v>
      </c>
      <c r="AA15" s="243">
        <f t="shared" ref="AA15:AA23" si="18">AB15+AC15</f>
        <v>568</v>
      </c>
      <c r="AB15" s="243">
        <v>568</v>
      </c>
      <c r="AC15" s="243">
        <v>0</v>
      </c>
      <c r="AD15" s="243">
        <f>AE15+AH15</f>
        <v>94.893000000000001</v>
      </c>
      <c r="AE15" s="243">
        <f t="shared" ref="AE15:AE23" si="19">AF15+AG15</f>
        <v>0</v>
      </c>
      <c r="AF15" s="243">
        <v>0</v>
      </c>
      <c r="AG15" s="243">
        <v>0</v>
      </c>
      <c r="AH15" s="243">
        <f t="shared" ref="AH15:AH23" si="20">AI15+AJ15</f>
        <v>94.893000000000001</v>
      </c>
      <c r="AI15" s="243">
        <v>94.893000000000001</v>
      </c>
      <c r="AJ15" s="243">
        <v>0</v>
      </c>
      <c r="AK15" s="245">
        <f>T15/C15</f>
        <v>0.63678482228626321</v>
      </c>
      <c r="AL15" s="245"/>
      <c r="AM15" s="245">
        <f>V15/E15</f>
        <v>0.63678482228626321</v>
      </c>
      <c r="AN15" s="245">
        <f t="shared" si="1"/>
        <v>0.67538644470868014</v>
      </c>
      <c r="AO15" s="245"/>
      <c r="AP15" s="245"/>
      <c r="AQ15" s="245"/>
      <c r="AR15" s="245">
        <f t="shared" si="2"/>
        <v>0.67538644470868014</v>
      </c>
      <c r="AS15" s="245">
        <f t="shared" si="2"/>
        <v>0.67538644470868014</v>
      </c>
      <c r="AT15" s="245"/>
      <c r="AU15" s="245">
        <f t="shared" si="5"/>
        <v>0.47446500000000003</v>
      </c>
      <c r="AV15" s="245"/>
      <c r="AW15" s="245"/>
      <c r="AX15" s="245"/>
      <c r="AY15" s="245">
        <f t="shared" si="3"/>
        <v>0.47446500000000003</v>
      </c>
      <c r="AZ15" s="245">
        <f t="shared" si="3"/>
        <v>0.47446500000000003</v>
      </c>
      <c r="BA15" s="245"/>
      <c r="BD15" s="246"/>
    </row>
    <row r="16" spans="1:56" ht="24.75" customHeight="1" x14ac:dyDescent="0.25">
      <c r="A16" s="165">
        <v>3</v>
      </c>
      <c r="B16" s="166" t="s">
        <v>163</v>
      </c>
      <c r="C16" s="239">
        <f t="shared" si="7"/>
        <v>3000</v>
      </c>
      <c r="D16" s="240">
        <f t="shared" si="8"/>
        <v>0</v>
      </c>
      <c r="E16" s="240">
        <f t="shared" si="9"/>
        <v>3000</v>
      </c>
      <c r="F16" s="240">
        <f t="shared" si="10"/>
        <v>0</v>
      </c>
      <c r="G16" s="240">
        <f t="shared" si="11"/>
        <v>0</v>
      </c>
      <c r="H16" s="240"/>
      <c r="I16" s="240"/>
      <c r="J16" s="240">
        <f t="shared" si="12"/>
        <v>0</v>
      </c>
      <c r="K16" s="240"/>
      <c r="L16" s="240"/>
      <c r="M16" s="240">
        <f t="shared" si="13"/>
        <v>3000</v>
      </c>
      <c r="N16" s="240">
        <f t="shared" si="14"/>
        <v>0</v>
      </c>
      <c r="O16" s="241"/>
      <c r="P16" s="240"/>
      <c r="Q16" s="240">
        <f t="shared" si="15"/>
        <v>3000</v>
      </c>
      <c r="R16" s="240">
        <v>3000</v>
      </c>
      <c r="S16" s="240"/>
      <c r="T16" s="242">
        <f t="shared" ref="T16:T29" si="21">U16+V16</f>
        <v>2358.9488740000002</v>
      </c>
      <c r="U16" s="243">
        <f t="shared" si="16"/>
        <v>0</v>
      </c>
      <c r="V16" s="243">
        <f t="shared" ref="V16:V29" si="22">AA16+AH16</f>
        <v>2358.9488740000002</v>
      </c>
      <c r="W16" s="243">
        <f t="shared" ref="W16:W29" si="23">X16+AA16</f>
        <v>0</v>
      </c>
      <c r="X16" s="243">
        <f t="shared" si="17"/>
        <v>0</v>
      </c>
      <c r="Y16" s="244"/>
      <c r="Z16" s="243"/>
      <c r="AA16" s="243">
        <f t="shared" si="18"/>
        <v>0</v>
      </c>
      <c r="AB16" s="243"/>
      <c r="AC16" s="243"/>
      <c r="AD16" s="243">
        <f t="shared" ref="AD16:AD23" si="24">AE16+AH16</f>
        <v>2358.9488740000002</v>
      </c>
      <c r="AE16" s="243">
        <f t="shared" si="19"/>
        <v>0</v>
      </c>
      <c r="AF16" s="243"/>
      <c r="AG16" s="243"/>
      <c r="AH16" s="243">
        <f t="shared" si="20"/>
        <v>2358.9488740000002</v>
      </c>
      <c r="AI16" s="243">
        <v>2358.9488740000002</v>
      </c>
      <c r="AJ16" s="243"/>
      <c r="AK16" s="245">
        <f t="shared" si="6"/>
        <v>0.78631629133333336</v>
      </c>
      <c r="AL16" s="245"/>
      <c r="AM16" s="245">
        <f t="shared" si="1"/>
        <v>0.78631629133333336</v>
      </c>
      <c r="AN16" s="245"/>
      <c r="AO16" s="245"/>
      <c r="AP16" s="245"/>
      <c r="AQ16" s="245"/>
      <c r="AR16" s="245"/>
      <c r="AS16" s="245"/>
      <c r="AT16" s="245"/>
      <c r="AU16" s="245">
        <f t="shared" si="5"/>
        <v>0.78631629133333336</v>
      </c>
      <c r="AV16" s="245"/>
      <c r="AW16" s="245"/>
      <c r="AX16" s="245"/>
      <c r="AY16" s="245">
        <f t="shared" si="3"/>
        <v>0.78631629133333336</v>
      </c>
      <c r="AZ16" s="245">
        <f t="shared" si="3"/>
        <v>0.78631629133333336</v>
      </c>
      <c r="BA16" s="245"/>
    </row>
    <row r="17" spans="1:55" ht="26.4" x14ac:dyDescent="0.25">
      <c r="A17" s="165">
        <v>4</v>
      </c>
      <c r="B17" s="166" t="s">
        <v>307</v>
      </c>
      <c r="C17" s="239">
        <f t="shared" si="7"/>
        <v>200</v>
      </c>
      <c r="D17" s="240">
        <f t="shared" si="8"/>
        <v>0</v>
      </c>
      <c r="E17" s="240">
        <f t="shared" si="9"/>
        <v>200</v>
      </c>
      <c r="F17" s="240">
        <f t="shared" si="10"/>
        <v>0</v>
      </c>
      <c r="G17" s="240">
        <f t="shared" si="11"/>
        <v>0</v>
      </c>
      <c r="H17" s="240"/>
      <c r="I17" s="240"/>
      <c r="J17" s="240">
        <f t="shared" si="12"/>
        <v>0</v>
      </c>
      <c r="K17" s="240"/>
      <c r="L17" s="240"/>
      <c r="M17" s="240">
        <f t="shared" si="13"/>
        <v>200</v>
      </c>
      <c r="N17" s="240">
        <f t="shared" si="14"/>
        <v>0</v>
      </c>
      <c r="O17" s="241"/>
      <c r="P17" s="240"/>
      <c r="Q17" s="240">
        <f t="shared" si="15"/>
        <v>200</v>
      </c>
      <c r="R17" s="240">
        <v>200</v>
      </c>
      <c r="S17" s="240"/>
      <c r="T17" s="242">
        <f t="shared" si="21"/>
        <v>199.934</v>
      </c>
      <c r="U17" s="243">
        <f t="shared" si="16"/>
        <v>0</v>
      </c>
      <c r="V17" s="243">
        <f t="shared" si="22"/>
        <v>199.934</v>
      </c>
      <c r="W17" s="243">
        <f t="shared" si="23"/>
        <v>0</v>
      </c>
      <c r="X17" s="243">
        <f t="shared" si="17"/>
        <v>0</v>
      </c>
      <c r="Y17" s="244">
        <v>0</v>
      </c>
      <c r="Z17" s="243">
        <v>0</v>
      </c>
      <c r="AA17" s="243">
        <f t="shared" si="18"/>
        <v>0</v>
      </c>
      <c r="AB17" s="243">
        <v>0</v>
      </c>
      <c r="AC17" s="243">
        <v>0</v>
      </c>
      <c r="AD17" s="243">
        <f t="shared" si="24"/>
        <v>199.934</v>
      </c>
      <c r="AE17" s="243">
        <f t="shared" si="19"/>
        <v>0</v>
      </c>
      <c r="AF17" s="243">
        <v>0</v>
      </c>
      <c r="AG17" s="243">
        <v>0</v>
      </c>
      <c r="AH17" s="243">
        <f t="shared" si="20"/>
        <v>199.934</v>
      </c>
      <c r="AI17" s="243">
        <v>199.934</v>
      </c>
      <c r="AJ17" s="243">
        <v>0</v>
      </c>
      <c r="AK17" s="245">
        <f t="shared" si="6"/>
        <v>0.99966999999999995</v>
      </c>
      <c r="AL17" s="245"/>
      <c r="AM17" s="245">
        <f t="shared" si="1"/>
        <v>0.99966999999999995</v>
      </c>
      <c r="AN17" s="245"/>
      <c r="AO17" s="245"/>
      <c r="AP17" s="245"/>
      <c r="AQ17" s="245"/>
      <c r="AR17" s="245"/>
      <c r="AS17" s="245"/>
      <c r="AT17" s="245"/>
      <c r="AU17" s="245">
        <f t="shared" si="5"/>
        <v>0.99966999999999995</v>
      </c>
      <c r="AV17" s="245"/>
      <c r="AW17" s="245"/>
      <c r="AX17" s="245"/>
      <c r="AY17" s="245">
        <f t="shared" si="3"/>
        <v>0.99966999999999995</v>
      </c>
      <c r="AZ17" s="245">
        <f t="shared" si="3"/>
        <v>0.99966999999999995</v>
      </c>
      <c r="BA17" s="245"/>
    </row>
    <row r="18" spans="1:55" x14ac:dyDescent="0.25">
      <c r="A18" s="165">
        <v>5</v>
      </c>
      <c r="B18" s="171" t="s">
        <v>164</v>
      </c>
      <c r="C18" s="239">
        <f t="shared" si="7"/>
        <v>360</v>
      </c>
      <c r="D18" s="240">
        <f t="shared" si="8"/>
        <v>0</v>
      </c>
      <c r="E18" s="240">
        <f t="shared" si="9"/>
        <v>360</v>
      </c>
      <c r="F18" s="240">
        <f t="shared" si="10"/>
        <v>0</v>
      </c>
      <c r="G18" s="240">
        <f t="shared" si="11"/>
        <v>0</v>
      </c>
      <c r="H18" s="240"/>
      <c r="I18" s="240"/>
      <c r="J18" s="240">
        <f t="shared" si="12"/>
        <v>0</v>
      </c>
      <c r="K18" s="240"/>
      <c r="L18" s="240"/>
      <c r="M18" s="240">
        <f t="shared" si="13"/>
        <v>360</v>
      </c>
      <c r="N18" s="240">
        <f t="shared" si="14"/>
        <v>0</v>
      </c>
      <c r="O18" s="241"/>
      <c r="P18" s="240"/>
      <c r="Q18" s="240">
        <f t="shared" si="15"/>
        <v>360</v>
      </c>
      <c r="R18" s="240">
        <v>360</v>
      </c>
      <c r="S18" s="240"/>
      <c r="T18" s="242">
        <f t="shared" si="21"/>
        <v>355</v>
      </c>
      <c r="U18" s="243">
        <f t="shared" si="16"/>
        <v>0</v>
      </c>
      <c r="V18" s="243">
        <f t="shared" si="22"/>
        <v>355</v>
      </c>
      <c r="W18" s="243">
        <f t="shared" si="23"/>
        <v>0</v>
      </c>
      <c r="X18" s="243">
        <f t="shared" si="17"/>
        <v>0</v>
      </c>
      <c r="Y18" s="244">
        <v>0</v>
      </c>
      <c r="Z18" s="243">
        <v>0</v>
      </c>
      <c r="AA18" s="243">
        <f t="shared" si="18"/>
        <v>0</v>
      </c>
      <c r="AB18" s="243">
        <v>0</v>
      </c>
      <c r="AC18" s="243">
        <v>0</v>
      </c>
      <c r="AD18" s="243">
        <f t="shared" si="24"/>
        <v>355</v>
      </c>
      <c r="AE18" s="243">
        <f t="shared" si="19"/>
        <v>0</v>
      </c>
      <c r="AF18" s="243">
        <v>0</v>
      </c>
      <c r="AG18" s="243">
        <v>0</v>
      </c>
      <c r="AH18" s="243">
        <f t="shared" si="20"/>
        <v>355</v>
      </c>
      <c r="AI18" s="243">
        <v>355</v>
      </c>
      <c r="AJ18" s="243">
        <v>0</v>
      </c>
      <c r="AK18" s="245">
        <f t="shared" si="6"/>
        <v>0.98611111111111116</v>
      </c>
      <c r="AL18" s="245"/>
      <c r="AM18" s="245">
        <f t="shared" si="1"/>
        <v>0.98611111111111116</v>
      </c>
      <c r="AN18" s="245"/>
      <c r="AO18" s="245"/>
      <c r="AP18" s="245"/>
      <c r="AQ18" s="245"/>
      <c r="AR18" s="245"/>
      <c r="AS18" s="245"/>
      <c r="AT18" s="245"/>
      <c r="AU18" s="245">
        <f t="shared" si="5"/>
        <v>0.98611111111111116</v>
      </c>
      <c r="AV18" s="245"/>
      <c r="AW18" s="245"/>
      <c r="AX18" s="245"/>
      <c r="AY18" s="245">
        <f t="shared" si="3"/>
        <v>0.98611111111111116</v>
      </c>
      <c r="AZ18" s="245">
        <f t="shared" si="3"/>
        <v>0.98611111111111116</v>
      </c>
      <c r="BA18" s="245"/>
    </row>
    <row r="19" spans="1:55" x14ac:dyDescent="0.25">
      <c r="A19" s="165">
        <v>6</v>
      </c>
      <c r="B19" s="171" t="s">
        <v>170</v>
      </c>
      <c r="C19" s="239">
        <f t="shared" si="7"/>
        <v>300</v>
      </c>
      <c r="D19" s="240">
        <f t="shared" si="8"/>
        <v>0</v>
      </c>
      <c r="E19" s="240">
        <f t="shared" si="9"/>
        <v>300</v>
      </c>
      <c r="F19" s="240">
        <f t="shared" si="10"/>
        <v>0</v>
      </c>
      <c r="G19" s="240">
        <f t="shared" si="11"/>
        <v>0</v>
      </c>
      <c r="H19" s="240"/>
      <c r="I19" s="240"/>
      <c r="J19" s="240">
        <f t="shared" si="12"/>
        <v>0</v>
      </c>
      <c r="K19" s="240"/>
      <c r="L19" s="240"/>
      <c r="M19" s="240">
        <f t="shared" si="13"/>
        <v>300</v>
      </c>
      <c r="N19" s="240">
        <f t="shared" si="14"/>
        <v>0</v>
      </c>
      <c r="O19" s="241"/>
      <c r="P19" s="240"/>
      <c r="Q19" s="240">
        <f t="shared" si="15"/>
        <v>300</v>
      </c>
      <c r="R19" s="240">
        <v>300</v>
      </c>
      <c r="S19" s="240"/>
      <c r="T19" s="242">
        <f t="shared" si="21"/>
        <v>273.39400000000001</v>
      </c>
      <c r="U19" s="243">
        <f t="shared" si="16"/>
        <v>0</v>
      </c>
      <c r="V19" s="243">
        <f t="shared" si="22"/>
        <v>273.39400000000001</v>
      </c>
      <c r="W19" s="243">
        <f t="shared" si="23"/>
        <v>0</v>
      </c>
      <c r="X19" s="243">
        <f t="shared" si="17"/>
        <v>0</v>
      </c>
      <c r="Y19" s="244">
        <v>0</v>
      </c>
      <c r="Z19" s="243">
        <v>0</v>
      </c>
      <c r="AA19" s="243">
        <f t="shared" si="18"/>
        <v>0</v>
      </c>
      <c r="AB19" s="243">
        <v>0</v>
      </c>
      <c r="AC19" s="243">
        <v>0</v>
      </c>
      <c r="AD19" s="243">
        <f t="shared" si="24"/>
        <v>273.39400000000001</v>
      </c>
      <c r="AE19" s="243">
        <f t="shared" si="19"/>
        <v>0</v>
      </c>
      <c r="AF19" s="243">
        <v>0</v>
      </c>
      <c r="AG19" s="243">
        <v>0</v>
      </c>
      <c r="AH19" s="243">
        <f t="shared" si="20"/>
        <v>273.39400000000001</v>
      </c>
      <c r="AI19" s="243">
        <v>273.39400000000001</v>
      </c>
      <c r="AJ19" s="243">
        <v>0</v>
      </c>
      <c r="AK19" s="245">
        <f t="shared" si="6"/>
        <v>0.91131333333333331</v>
      </c>
      <c r="AL19" s="245"/>
      <c r="AM19" s="245">
        <f t="shared" si="1"/>
        <v>0.91131333333333331</v>
      </c>
      <c r="AN19" s="245"/>
      <c r="AO19" s="245"/>
      <c r="AP19" s="245"/>
      <c r="AQ19" s="245"/>
      <c r="AR19" s="245"/>
      <c r="AS19" s="245"/>
      <c r="AT19" s="245"/>
      <c r="AU19" s="245">
        <f t="shared" si="5"/>
        <v>0.91131333333333331</v>
      </c>
      <c r="AV19" s="245"/>
      <c r="AW19" s="245"/>
      <c r="AX19" s="245"/>
      <c r="AY19" s="245">
        <f t="shared" si="3"/>
        <v>0.91131333333333331</v>
      </c>
      <c r="AZ19" s="245">
        <f t="shared" si="3"/>
        <v>0.91131333333333331</v>
      </c>
      <c r="BA19" s="245"/>
    </row>
    <row r="20" spans="1:55" x14ac:dyDescent="0.25">
      <c r="A20" s="165">
        <v>7</v>
      </c>
      <c r="B20" s="171" t="s">
        <v>136</v>
      </c>
      <c r="C20" s="239">
        <f t="shared" si="7"/>
        <v>350</v>
      </c>
      <c r="D20" s="240">
        <f t="shared" si="8"/>
        <v>0</v>
      </c>
      <c r="E20" s="240">
        <f t="shared" si="9"/>
        <v>350</v>
      </c>
      <c r="F20" s="240">
        <f t="shared" si="10"/>
        <v>0</v>
      </c>
      <c r="G20" s="240">
        <f t="shared" si="11"/>
        <v>0</v>
      </c>
      <c r="H20" s="240"/>
      <c r="I20" s="240"/>
      <c r="J20" s="240">
        <f t="shared" si="12"/>
        <v>0</v>
      </c>
      <c r="K20" s="240"/>
      <c r="L20" s="240"/>
      <c r="M20" s="240">
        <f t="shared" si="13"/>
        <v>350</v>
      </c>
      <c r="N20" s="240">
        <f t="shared" si="14"/>
        <v>0</v>
      </c>
      <c r="O20" s="241"/>
      <c r="P20" s="240"/>
      <c r="Q20" s="240">
        <f t="shared" si="15"/>
        <v>350</v>
      </c>
      <c r="R20" s="240">
        <v>350</v>
      </c>
      <c r="S20" s="240"/>
      <c r="T20" s="242">
        <f t="shared" si="21"/>
        <v>290.64800000000002</v>
      </c>
      <c r="U20" s="243">
        <f t="shared" si="16"/>
        <v>0</v>
      </c>
      <c r="V20" s="243">
        <f t="shared" si="22"/>
        <v>290.64800000000002</v>
      </c>
      <c r="W20" s="243">
        <f t="shared" si="23"/>
        <v>0</v>
      </c>
      <c r="X20" s="243">
        <f t="shared" si="17"/>
        <v>0</v>
      </c>
      <c r="Y20" s="244">
        <v>0</v>
      </c>
      <c r="Z20" s="243">
        <v>0</v>
      </c>
      <c r="AA20" s="243">
        <f t="shared" si="18"/>
        <v>0</v>
      </c>
      <c r="AB20" s="243">
        <v>0</v>
      </c>
      <c r="AC20" s="243">
        <v>0</v>
      </c>
      <c r="AD20" s="243">
        <f t="shared" si="24"/>
        <v>290.64800000000002</v>
      </c>
      <c r="AE20" s="243">
        <f t="shared" si="19"/>
        <v>0</v>
      </c>
      <c r="AF20" s="243">
        <v>0</v>
      </c>
      <c r="AG20" s="243">
        <v>0</v>
      </c>
      <c r="AH20" s="243">
        <f t="shared" si="20"/>
        <v>290.64800000000002</v>
      </c>
      <c r="AI20" s="243">
        <v>290.64800000000002</v>
      </c>
      <c r="AJ20" s="243">
        <v>0</v>
      </c>
      <c r="AK20" s="245">
        <f t="shared" si="6"/>
        <v>0.83042285714285724</v>
      </c>
      <c r="AL20" s="245"/>
      <c r="AM20" s="245">
        <f t="shared" si="1"/>
        <v>0.83042285714285724</v>
      </c>
      <c r="AN20" s="245"/>
      <c r="AO20" s="245"/>
      <c r="AP20" s="245"/>
      <c r="AQ20" s="245"/>
      <c r="AR20" s="245"/>
      <c r="AS20" s="245"/>
      <c r="AT20" s="245"/>
      <c r="AU20" s="245">
        <f t="shared" si="5"/>
        <v>0.83042285714285724</v>
      </c>
      <c r="AV20" s="245"/>
      <c r="AW20" s="245"/>
      <c r="AX20" s="245"/>
      <c r="AY20" s="245">
        <f t="shared" si="3"/>
        <v>0.83042285714285724</v>
      </c>
      <c r="AZ20" s="245">
        <f t="shared" si="3"/>
        <v>0.83042285714285724</v>
      </c>
      <c r="BA20" s="245"/>
    </row>
    <row r="21" spans="1:55" x14ac:dyDescent="0.25">
      <c r="A21" s="165">
        <v>8</v>
      </c>
      <c r="B21" s="171" t="s">
        <v>308</v>
      </c>
      <c r="C21" s="239">
        <f t="shared" si="7"/>
        <v>500</v>
      </c>
      <c r="D21" s="240">
        <f t="shared" si="8"/>
        <v>0</v>
      </c>
      <c r="E21" s="240">
        <f t="shared" si="9"/>
        <v>500</v>
      </c>
      <c r="F21" s="240">
        <f t="shared" si="10"/>
        <v>0</v>
      </c>
      <c r="G21" s="240">
        <f t="shared" si="11"/>
        <v>0</v>
      </c>
      <c r="H21" s="240"/>
      <c r="I21" s="240"/>
      <c r="J21" s="240">
        <f t="shared" si="12"/>
        <v>0</v>
      </c>
      <c r="K21" s="240"/>
      <c r="L21" s="240"/>
      <c r="M21" s="240">
        <f t="shared" si="13"/>
        <v>500</v>
      </c>
      <c r="N21" s="240">
        <f t="shared" si="14"/>
        <v>0</v>
      </c>
      <c r="O21" s="241"/>
      <c r="P21" s="240"/>
      <c r="Q21" s="240">
        <f t="shared" si="15"/>
        <v>500</v>
      </c>
      <c r="R21" s="240">
        <v>500</v>
      </c>
      <c r="S21" s="240"/>
      <c r="T21" s="242">
        <f t="shared" si="21"/>
        <v>500</v>
      </c>
      <c r="U21" s="243">
        <f t="shared" si="16"/>
        <v>0</v>
      </c>
      <c r="V21" s="243">
        <f t="shared" si="22"/>
        <v>500</v>
      </c>
      <c r="W21" s="243">
        <f t="shared" si="23"/>
        <v>0</v>
      </c>
      <c r="X21" s="243">
        <f t="shared" si="17"/>
        <v>0</v>
      </c>
      <c r="Y21" s="244">
        <v>0</v>
      </c>
      <c r="Z21" s="243">
        <v>0</v>
      </c>
      <c r="AA21" s="243">
        <f t="shared" si="18"/>
        <v>0</v>
      </c>
      <c r="AB21" s="243">
        <v>0</v>
      </c>
      <c r="AC21" s="243">
        <v>0</v>
      </c>
      <c r="AD21" s="243">
        <f t="shared" si="24"/>
        <v>500</v>
      </c>
      <c r="AE21" s="243">
        <f t="shared" si="19"/>
        <v>0</v>
      </c>
      <c r="AF21" s="243">
        <v>0</v>
      </c>
      <c r="AG21" s="243">
        <v>0</v>
      </c>
      <c r="AH21" s="243">
        <f t="shared" si="20"/>
        <v>500</v>
      </c>
      <c r="AI21" s="243">
        <v>500</v>
      </c>
      <c r="AJ21" s="243">
        <v>0</v>
      </c>
      <c r="AK21" s="245">
        <f t="shared" si="6"/>
        <v>1</v>
      </c>
      <c r="AL21" s="245"/>
      <c r="AM21" s="245">
        <f t="shared" si="1"/>
        <v>1</v>
      </c>
      <c r="AN21" s="245"/>
      <c r="AO21" s="245"/>
      <c r="AP21" s="245"/>
      <c r="AQ21" s="245"/>
      <c r="AR21" s="245"/>
      <c r="AS21" s="245"/>
      <c r="AT21" s="245"/>
      <c r="AU21" s="245">
        <f t="shared" si="5"/>
        <v>1</v>
      </c>
      <c r="AV21" s="245"/>
      <c r="AW21" s="245"/>
      <c r="AX21" s="245"/>
      <c r="AY21" s="245">
        <f t="shared" si="3"/>
        <v>1</v>
      </c>
      <c r="AZ21" s="245">
        <f t="shared" si="3"/>
        <v>1</v>
      </c>
      <c r="BA21" s="245"/>
    </row>
    <row r="22" spans="1:55" x14ac:dyDescent="0.25">
      <c r="A22" s="165">
        <v>9</v>
      </c>
      <c r="B22" s="171" t="s">
        <v>137</v>
      </c>
      <c r="C22" s="239">
        <f t="shared" si="7"/>
        <v>3417</v>
      </c>
      <c r="D22" s="240">
        <f t="shared" si="8"/>
        <v>0</v>
      </c>
      <c r="E22" s="240">
        <f t="shared" si="9"/>
        <v>3417</v>
      </c>
      <c r="F22" s="240">
        <f t="shared" si="10"/>
        <v>3417</v>
      </c>
      <c r="G22" s="240">
        <f t="shared" si="11"/>
        <v>0</v>
      </c>
      <c r="H22" s="240"/>
      <c r="I22" s="240"/>
      <c r="J22" s="240">
        <f t="shared" si="12"/>
        <v>3417</v>
      </c>
      <c r="K22" s="240">
        <v>3417</v>
      </c>
      <c r="L22" s="240"/>
      <c r="M22" s="240">
        <f t="shared" si="13"/>
        <v>0</v>
      </c>
      <c r="N22" s="240">
        <f t="shared" si="14"/>
        <v>0</v>
      </c>
      <c r="O22" s="241"/>
      <c r="P22" s="240"/>
      <c r="Q22" s="240">
        <f t="shared" si="15"/>
        <v>0</v>
      </c>
      <c r="R22" s="240"/>
      <c r="S22" s="240"/>
      <c r="T22" s="242">
        <f t="shared" si="21"/>
        <v>3417</v>
      </c>
      <c r="U22" s="243">
        <f t="shared" si="16"/>
        <v>0</v>
      </c>
      <c r="V22" s="243">
        <f t="shared" si="22"/>
        <v>3417</v>
      </c>
      <c r="W22" s="243">
        <f t="shared" si="23"/>
        <v>3417</v>
      </c>
      <c r="X22" s="243">
        <f t="shared" si="17"/>
        <v>0</v>
      </c>
      <c r="Y22" s="244">
        <v>0</v>
      </c>
      <c r="Z22" s="243">
        <v>0</v>
      </c>
      <c r="AA22" s="243">
        <f t="shared" si="18"/>
        <v>3417</v>
      </c>
      <c r="AB22" s="243">
        <v>3417</v>
      </c>
      <c r="AC22" s="243">
        <v>0</v>
      </c>
      <c r="AD22" s="243">
        <f t="shared" si="24"/>
        <v>0</v>
      </c>
      <c r="AE22" s="243">
        <f t="shared" si="19"/>
        <v>0</v>
      </c>
      <c r="AF22" s="243">
        <v>0</v>
      </c>
      <c r="AG22" s="243">
        <v>0</v>
      </c>
      <c r="AH22" s="243">
        <f t="shared" si="20"/>
        <v>0</v>
      </c>
      <c r="AI22" s="243">
        <v>0</v>
      </c>
      <c r="AJ22" s="243">
        <v>0</v>
      </c>
      <c r="AK22" s="245">
        <f t="shared" si="6"/>
        <v>1</v>
      </c>
      <c r="AL22" s="245"/>
      <c r="AM22" s="245">
        <f t="shared" si="1"/>
        <v>1</v>
      </c>
      <c r="AN22" s="245">
        <f>W22/F22</f>
        <v>1</v>
      </c>
      <c r="AO22" s="245"/>
      <c r="AP22" s="245"/>
      <c r="AQ22" s="245"/>
      <c r="AR22" s="245">
        <f>AA22/J22</f>
        <v>1</v>
      </c>
      <c r="AS22" s="245">
        <f>AB22/K22</f>
        <v>1</v>
      </c>
      <c r="AT22" s="245"/>
      <c r="AU22" s="245"/>
      <c r="AV22" s="245"/>
      <c r="AW22" s="245"/>
      <c r="AX22" s="245"/>
      <c r="AY22" s="245"/>
      <c r="AZ22" s="245"/>
      <c r="BA22" s="245"/>
    </row>
    <row r="23" spans="1:55" x14ac:dyDescent="0.25">
      <c r="A23" s="165">
        <v>10</v>
      </c>
      <c r="B23" s="171" t="s">
        <v>309</v>
      </c>
      <c r="C23" s="239">
        <f t="shared" si="7"/>
        <v>314</v>
      </c>
      <c r="D23" s="240">
        <f t="shared" si="8"/>
        <v>0</v>
      </c>
      <c r="E23" s="240">
        <f t="shared" si="9"/>
        <v>314</v>
      </c>
      <c r="F23" s="240">
        <f t="shared" si="10"/>
        <v>314</v>
      </c>
      <c r="G23" s="240">
        <f t="shared" si="11"/>
        <v>0</v>
      </c>
      <c r="H23" s="240"/>
      <c r="I23" s="240"/>
      <c r="J23" s="240">
        <f t="shared" si="12"/>
        <v>314</v>
      </c>
      <c r="K23" s="240">
        <v>314</v>
      </c>
      <c r="L23" s="240"/>
      <c r="M23" s="240">
        <f t="shared" si="13"/>
        <v>0</v>
      </c>
      <c r="N23" s="240">
        <f t="shared" si="14"/>
        <v>0</v>
      </c>
      <c r="O23" s="241"/>
      <c r="P23" s="240"/>
      <c r="Q23" s="240">
        <f t="shared" si="15"/>
        <v>0</v>
      </c>
      <c r="R23" s="240"/>
      <c r="S23" s="240"/>
      <c r="T23" s="242">
        <f t="shared" si="21"/>
        <v>277</v>
      </c>
      <c r="U23" s="243">
        <f t="shared" si="16"/>
        <v>0</v>
      </c>
      <c r="V23" s="243">
        <f t="shared" si="22"/>
        <v>277</v>
      </c>
      <c r="W23" s="243">
        <f t="shared" si="23"/>
        <v>277</v>
      </c>
      <c r="X23" s="243">
        <f t="shared" si="17"/>
        <v>0</v>
      </c>
      <c r="Y23" s="244">
        <v>0</v>
      </c>
      <c r="Z23" s="243">
        <v>0</v>
      </c>
      <c r="AA23" s="243">
        <f t="shared" si="18"/>
        <v>277</v>
      </c>
      <c r="AB23" s="243">
        <v>277</v>
      </c>
      <c r="AC23" s="243">
        <v>0</v>
      </c>
      <c r="AD23" s="243">
        <f t="shared" si="24"/>
        <v>0</v>
      </c>
      <c r="AE23" s="243">
        <f t="shared" si="19"/>
        <v>0</v>
      </c>
      <c r="AF23" s="243">
        <v>0</v>
      </c>
      <c r="AG23" s="243">
        <v>0</v>
      </c>
      <c r="AH23" s="243">
        <f t="shared" si="20"/>
        <v>0</v>
      </c>
      <c r="AI23" s="243">
        <v>0</v>
      </c>
      <c r="AJ23" s="243">
        <v>0</v>
      </c>
      <c r="AK23" s="245">
        <f t="shared" si="6"/>
        <v>0.88216560509554143</v>
      </c>
      <c r="AL23" s="245"/>
      <c r="AM23" s="245">
        <f t="shared" si="1"/>
        <v>0.88216560509554143</v>
      </c>
      <c r="AN23" s="245">
        <f>W23/F23</f>
        <v>0.88216560509554143</v>
      </c>
      <c r="AO23" s="245"/>
      <c r="AP23" s="245"/>
      <c r="AQ23" s="245"/>
      <c r="AR23" s="245">
        <f>AA23/J23</f>
        <v>0.88216560509554143</v>
      </c>
      <c r="AS23" s="245">
        <f>AB23/K23</f>
        <v>0.88216560509554143</v>
      </c>
      <c r="AT23" s="245"/>
      <c r="AU23" s="245"/>
      <c r="AV23" s="245"/>
      <c r="AW23" s="245"/>
      <c r="AX23" s="245"/>
      <c r="AY23" s="245"/>
      <c r="AZ23" s="245"/>
      <c r="BA23" s="245"/>
    </row>
    <row r="24" spans="1:55" x14ac:dyDescent="0.25">
      <c r="A24" s="165">
        <v>11</v>
      </c>
      <c r="B24" s="166" t="s">
        <v>154</v>
      </c>
      <c r="C24" s="239">
        <f t="shared" si="7"/>
        <v>20578</v>
      </c>
      <c r="D24" s="240">
        <f t="shared" si="8"/>
        <v>20578</v>
      </c>
      <c r="E24" s="240">
        <f t="shared" si="9"/>
        <v>0</v>
      </c>
      <c r="F24" s="240">
        <f t="shared" si="10"/>
        <v>20578</v>
      </c>
      <c r="G24" s="240">
        <f t="shared" si="11"/>
        <v>20578</v>
      </c>
      <c r="H24" s="240">
        <v>20578</v>
      </c>
      <c r="I24" s="250"/>
      <c r="J24" s="240">
        <f t="shared" si="12"/>
        <v>0</v>
      </c>
      <c r="K24" s="250"/>
      <c r="L24" s="250"/>
      <c r="M24" s="240">
        <f t="shared" si="13"/>
        <v>0</v>
      </c>
      <c r="N24" s="240">
        <f t="shared" si="14"/>
        <v>0</v>
      </c>
      <c r="O24" s="241"/>
      <c r="P24" s="250"/>
      <c r="Q24" s="240">
        <f t="shared" si="15"/>
        <v>0</v>
      </c>
      <c r="R24" s="250"/>
      <c r="S24" s="250"/>
      <c r="T24" s="242">
        <f t="shared" si="21"/>
        <v>29248.393</v>
      </c>
      <c r="U24" s="243">
        <f t="shared" si="16"/>
        <v>29248.393</v>
      </c>
      <c r="V24" s="243">
        <f t="shared" si="22"/>
        <v>0</v>
      </c>
      <c r="W24" s="243">
        <f t="shared" si="23"/>
        <v>29248.393</v>
      </c>
      <c r="X24" s="243">
        <f t="shared" si="17"/>
        <v>29248.393</v>
      </c>
      <c r="Y24" s="247">
        <v>29248.393</v>
      </c>
      <c r="Z24" s="251"/>
      <c r="AA24" s="251"/>
      <c r="AB24" s="251"/>
      <c r="AC24" s="251"/>
      <c r="AD24" s="247"/>
      <c r="AE24" s="247"/>
      <c r="AF24" s="248"/>
      <c r="AG24" s="251"/>
      <c r="AH24" s="251"/>
      <c r="AI24" s="251"/>
      <c r="AJ24" s="251"/>
      <c r="AK24" s="245">
        <f t="shared" si="6"/>
        <v>1.4213428418699583</v>
      </c>
      <c r="AL24" s="245">
        <f t="shared" ref="AL24:AP40" si="25">U24/D24</f>
        <v>1.4213428418699583</v>
      </c>
      <c r="AM24" s="245"/>
      <c r="AN24" s="249"/>
      <c r="AO24" s="249"/>
      <c r="AP24" s="249"/>
      <c r="AQ24" s="249"/>
      <c r="AR24" s="249"/>
      <c r="AS24" s="249"/>
      <c r="AT24" s="249"/>
      <c r="AU24" s="249"/>
      <c r="AV24" s="249"/>
      <c r="AW24" s="249"/>
      <c r="AX24" s="249"/>
      <c r="AY24" s="249"/>
      <c r="AZ24" s="249"/>
      <c r="BA24" s="249"/>
    </row>
    <row r="25" spans="1:55" x14ac:dyDescent="0.25">
      <c r="A25" s="165">
        <v>12</v>
      </c>
      <c r="B25" s="166" t="s">
        <v>153</v>
      </c>
      <c r="C25" s="239">
        <f t="shared" si="7"/>
        <v>13840.550999999999</v>
      </c>
      <c r="D25" s="240">
        <f t="shared" si="8"/>
        <v>13840.550999999999</v>
      </c>
      <c r="E25" s="240">
        <f t="shared" si="9"/>
        <v>0</v>
      </c>
      <c r="F25" s="240">
        <f t="shared" si="10"/>
        <v>13840.550999999999</v>
      </c>
      <c r="G25" s="240">
        <f t="shared" si="11"/>
        <v>13840.550999999999</v>
      </c>
      <c r="H25" s="240">
        <v>13840.550999999999</v>
      </c>
      <c r="I25" s="250"/>
      <c r="J25" s="240">
        <f t="shared" si="12"/>
        <v>0</v>
      </c>
      <c r="K25" s="250"/>
      <c r="L25" s="250"/>
      <c r="M25" s="240">
        <f t="shared" si="13"/>
        <v>0</v>
      </c>
      <c r="N25" s="240">
        <f t="shared" si="14"/>
        <v>0</v>
      </c>
      <c r="O25" s="241"/>
      <c r="P25" s="250"/>
      <c r="Q25" s="240">
        <f t="shared" si="15"/>
        <v>0</v>
      </c>
      <c r="R25" s="250"/>
      <c r="S25" s="250"/>
      <c r="T25" s="242">
        <f t="shared" si="21"/>
        <v>13840.550999999999</v>
      </c>
      <c r="U25" s="243">
        <f t="shared" si="16"/>
        <v>13840.550999999999</v>
      </c>
      <c r="V25" s="243">
        <f t="shared" si="22"/>
        <v>0</v>
      </c>
      <c r="W25" s="243">
        <f t="shared" si="23"/>
        <v>13840.550999999999</v>
      </c>
      <c r="X25" s="243">
        <f t="shared" si="17"/>
        <v>13840.550999999999</v>
      </c>
      <c r="Y25" s="247">
        <v>13840.550999999999</v>
      </c>
      <c r="Z25" s="251"/>
      <c r="AA25" s="251"/>
      <c r="AB25" s="251"/>
      <c r="AC25" s="251"/>
      <c r="AD25" s="247"/>
      <c r="AE25" s="247"/>
      <c r="AF25" s="248"/>
      <c r="AG25" s="251"/>
      <c r="AH25" s="251"/>
      <c r="AI25" s="251"/>
      <c r="AJ25" s="251"/>
      <c r="AK25" s="245">
        <f t="shared" si="6"/>
        <v>1</v>
      </c>
      <c r="AL25" s="245">
        <f t="shared" si="25"/>
        <v>1</v>
      </c>
      <c r="AM25" s="245"/>
      <c r="AN25" s="249"/>
      <c r="AO25" s="249"/>
      <c r="AP25" s="249"/>
      <c r="AQ25" s="249"/>
      <c r="AR25" s="249"/>
      <c r="AS25" s="249"/>
      <c r="AT25" s="249"/>
      <c r="AU25" s="249"/>
      <c r="AV25" s="249"/>
      <c r="AW25" s="249"/>
      <c r="AX25" s="249"/>
      <c r="AY25" s="249"/>
      <c r="AZ25" s="249"/>
      <c r="BA25" s="249"/>
    </row>
    <row r="26" spans="1:55" x14ac:dyDescent="0.25">
      <c r="A26" s="165">
        <v>13</v>
      </c>
      <c r="B26" s="166" t="s">
        <v>172</v>
      </c>
      <c r="C26" s="239">
        <f t="shared" si="7"/>
        <v>14400</v>
      </c>
      <c r="D26" s="240">
        <f t="shared" si="8"/>
        <v>14400</v>
      </c>
      <c r="E26" s="240">
        <f t="shared" si="9"/>
        <v>0</v>
      </c>
      <c r="F26" s="240">
        <f t="shared" si="10"/>
        <v>14400</v>
      </c>
      <c r="G26" s="240">
        <f t="shared" si="11"/>
        <v>14400</v>
      </c>
      <c r="H26" s="240">
        <v>14400</v>
      </c>
      <c r="I26" s="250"/>
      <c r="J26" s="240">
        <f t="shared" si="12"/>
        <v>0</v>
      </c>
      <c r="K26" s="250"/>
      <c r="L26" s="250"/>
      <c r="M26" s="240">
        <f t="shared" si="13"/>
        <v>0</v>
      </c>
      <c r="N26" s="240">
        <f t="shared" si="14"/>
        <v>0</v>
      </c>
      <c r="O26" s="241"/>
      <c r="P26" s="250"/>
      <c r="Q26" s="240">
        <f t="shared" si="15"/>
        <v>0</v>
      </c>
      <c r="R26" s="250"/>
      <c r="S26" s="250"/>
      <c r="T26" s="242">
        <f t="shared" si="21"/>
        <v>14400</v>
      </c>
      <c r="U26" s="243">
        <f>X26+AE26</f>
        <v>14400</v>
      </c>
      <c r="V26" s="243">
        <f t="shared" si="22"/>
        <v>0</v>
      </c>
      <c r="W26" s="243">
        <f t="shared" si="23"/>
        <v>14400</v>
      </c>
      <c r="X26" s="243">
        <f t="shared" si="17"/>
        <v>14400</v>
      </c>
      <c r="Y26" s="247">
        <v>14400</v>
      </c>
      <c r="Z26" s="251"/>
      <c r="AA26" s="251"/>
      <c r="AB26" s="251"/>
      <c r="AC26" s="251"/>
      <c r="AD26" s="247"/>
      <c r="AE26" s="247"/>
      <c r="AF26" s="248"/>
      <c r="AG26" s="251"/>
      <c r="AH26" s="251"/>
      <c r="AI26" s="251"/>
      <c r="AJ26" s="251"/>
      <c r="AK26" s="245">
        <f t="shared" si="6"/>
        <v>1</v>
      </c>
      <c r="AL26" s="245">
        <f t="shared" si="25"/>
        <v>1</v>
      </c>
      <c r="AM26" s="245"/>
      <c r="AN26" s="249"/>
      <c r="AO26" s="249"/>
      <c r="AP26" s="249"/>
      <c r="AQ26" s="249"/>
      <c r="AR26" s="249"/>
      <c r="AS26" s="249"/>
      <c r="AT26" s="249"/>
      <c r="AU26" s="249"/>
      <c r="AV26" s="249"/>
      <c r="AW26" s="249"/>
      <c r="AX26" s="249"/>
      <c r="AY26" s="249"/>
      <c r="AZ26" s="249"/>
      <c r="BA26" s="249"/>
    </row>
    <row r="27" spans="1:55" x14ac:dyDescent="0.25">
      <c r="A27" s="165">
        <v>14</v>
      </c>
      <c r="B27" s="166" t="s">
        <v>138</v>
      </c>
      <c r="C27" s="239">
        <f t="shared" si="7"/>
        <v>12503.449000000001</v>
      </c>
      <c r="D27" s="240">
        <f t="shared" si="8"/>
        <v>12503.449000000001</v>
      </c>
      <c r="E27" s="240">
        <f t="shared" si="9"/>
        <v>0</v>
      </c>
      <c r="F27" s="240">
        <f t="shared" si="10"/>
        <v>12503.449000000001</v>
      </c>
      <c r="G27" s="240">
        <f t="shared" si="11"/>
        <v>12503.449000000001</v>
      </c>
      <c r="H27" s="240">
        <v>12503.449000000001</v>
      </c>
      <c r="I27" s="250"/>
      <c r="J27" s="240">
        <f t="shared" si="12"/>
        <v>0</v>
      </c>
      <c r="K27" s="250"/>
      <c r="L27" s="250"/>
      <c r="M27" s="240">
        <f t="shared" si="13"/>
        <v>0</v>
      </c>
      <c r="N27" s="240">
        <f t="shared" si="14"/>
        <v>0</v>
      </c>
      <c r="O27" s="241"/>
      <c r="P27" s="250"/>
      <c r="Q27" s="240">
        <f t="shared" si="15"/>
        <v>0</v>
      </c>
      <c r="R27" s="250"/>
      <c r="S27" s="250"/>
      <c r="T27" s="242">
        <f t="shared" si="21"/>
        <v>12503.449000000001</v>
      </c>
      <c r="U27" s="243">
        <f t="shared" si="16"/>
        <v>12503.449000000001</v>
      </c>
      <c r="V27" s="243">
        <f t="shared" si="22"/>
        <v>0</v>
      </c>
      <c r="W27" s="243">
        <f t="shared" si="23"/>
        <v>12503.449000000001</v>
      </c>
      <c r="X27" s="243">
        <f t="shared" si="17"/>
        <v>12503.449000000001</v>
      </c>
      <c r="Y27" s="247">
        <v>12503.449000000001</v>
      </c>
      <c r="Z27" s="251"/>
      <c r="AA27" s="251"/>
      <c r="AB27" s="251"/>
      <c r="AC27" s="251"/>
      <c r="AD27" s="247"/>
      <c r="AE27" s="247"/>
      <c r="AF27" s="248"/>
      <c r="AG27" s="251"/>
      <c r="AH27" s="251"/>
      <c r="AI27" s="251"/>
      <c r="AJ27" s="251"/>
      <c r="AK27" s="252">
        <f t="shared" ref="AK27:AK41" si="26">T27/C27</f>
        <v>1</v>
      </c>
      <c r="AL27" s="245">
        <f t="shared" si="25"/>
        <v>1</v>
      </c>
      <c r="AM27" s="245"/>
      <c r="AN27" s="252">
        <f t="shared" si="25"/>
        <v>1</v>
      </c>
      <c r="AO27" s="252">
        <f t="shared" si="25"/>
        <v>1</v>
      </c>
      <c r="AP27" s="252">
        <f t="shared" si="25"/>
        <v>1</v>
      </c>
      <c r="AQ27" s="252"/>
      <c r="AR27" s="252"/>
      <c r="AS27" s="252"/>
      <c r="AT27" s="252"/>
      <c r="AU27" s="252"/>
      <c r="AV27" s="252"/>
      <c r="AW27" s="252"/>
      <c r="AX27" s="252"/>
      <c r="AY27" s="252"/>
      <c r="AZ27" s="252"/>
      <c r="BA27" s="252"/>
    </row>
    <row r="28" spans="1:55" x14ac:dyDescent="0.25">
      <c r="A28" s="165">
        <v>15</v>
      </c>
      <c r="B28" s="166" t="s">
        <v>171</v>
      </c>
      <c r="C28" s="239">
        <f t="shared" si="7"/>
        <v>41937</v>
      </c>
      <c r="D28" s="240">
        <f t="shared" si="8"/>
        <v>41937</v>
      </c>
      <c r="E28" s="240">
        <f t="shared" si="9"/>
        <v>0</v>
      </c>
      <c r="F28" s="240">
        <f t="shared" si="10"/>
        <v>41937</v>
      </c>
      <c r="G28" s="240">
        <f t="shared" si="11"/>
        <v>41937</v>
      </c>
      <c r="H28" s="240">
        <v>41937</v>
      </c>
      <c r="I28" s="250"/>
      <c r="J28" s="240">
        <f t="shared" si="12"/>
        <v>0</v>
      </c>
      <c r="K28" s="250"/>
      <c r="L28" s="250"/>
      <c r="M28" s="240">
        <f t="shared" si="13"/>
        <v>0</v>
      </c>
      <c r="N28" s="240">
        <f t="shared" si="14"/>
        <v>0</v>
      </c>
      <c r="O28" s="241"/>
      <c r="P28" s="250"/>
      <c r="Q28" s="240">
        <f t="shared" si="15"/>
        <v>0</v>
      </c>
      <c r="R28" s="250"/>
      <c r="S28" s="250"/>
      <c r="T28" s="242">
        <f t="shared" si="21"/>
        <v>36749.083999999995</v>
      </c>
      <c r="U28" s="243">
        <f t="shared" si="16"/>
        <v>36749.083999999995</v>
      </c>
      <c r="V28" s="243">
        <f t="shared" si="22"/>
        <v>0</v>
      </c>
      <c r="W28" s="243">
        <f t="shared" si="23"/>
        <v>36749.083999999995</v>
      </c>
      <c r="X28" s="243">
        <f t="shared" si="17"/>
        <v>36749.083999999995</v>
      </c>
      <c r="Y28" s="247">
        <v>36749.083999999995</v>
      </c>
      <c r="Z28" s="251"/>
      <c r="AA28" s="251"/>
      <c r="AB28" s="251"/>
      <c r="AC28" s="251"/>
      <c r="AD28" s="247"/>
      <c r="AE28" s="247"/>
      <c r="AF28" s="248"/>
      <c r="AG28" s="251"/>
      <c r="AH28" s="251"/>
      <c r="AI28" s="251"/>
      <c r="AJ28" s="251"/>
      <c r="AK28" s="245">
        <f t="shared" si="26"/>
        <v>0.87629262942032082</v>
      </c>
      <c r="AL28" s="245">
        <f t="shared" si="25"/>
        <v>0.87629262942032082</v>
      </c>
      <c r="AM28" s="245"/>
      <c r="AN28" s="245">
        <f t="shared" si="25"/>
        <v>0.87629262942032082</v>
      </c>
      <c r="AO28" s="245">
        <f t="shared" si="25"/>
        <v>0.87629262942032082</v>
      </c>
      <c r="AP28" s="245">
        <f t="shared" si="25"/>
        <v>0.87629262942032082</v>
      </c>
      <c r="AQ28" s="245"/>
      <c r="AR28" s="245"/>
      <c r="AS28" s="245"/>
      <c r="AT28" s="245"/>
      <c r="AU28" s="245"/>
      <c r="AV28" s="245"/>
      <c r="AW28" s="245"/>
      <c r="AX28" s="245"/>
      <c r="AY28" s="245"/>
      <c r="AZ28" s="245"/>
      <c r="BA28" s="245"/>
    </row>
    <row r="29" spans="1:55" x14ac:dyDescent="0.25">
      <c r="A29" s="165">
        <v>16</v>
      </c>
      <c r="B29" s="166" t="s">
        <v>155</v>
      </c>
      <c r="C29" s="239">
        <f t="shared" si="7"/>
        <v>37077</v>
      </c>
      <c r="D29" s="240">
        <f t="shared" si="8"/>
        <v>37077</v>
      </c>
      <c r="E29" s="240">
        <f t="shared" si="9"/>
        <v>0</v>
      </c>
      <c r="F29" s="240">
        <f t="shared" si="10"/>
        <v>37077</v>
      </c>
      <c r="G29" s="240">
        <f t="shared" si="11"/>
        <v>37077</v>
      </c>
      <c r="H29" s="240">
        <v>37077</v>
      </c>
      <c r="I29" s="250"/>
      <c r="J29" s="240">
        <f t="shared" si="12"/>
        <v>0</v>
      </c>
      <c r="K29" s="250"/>
      <c r="L29" s="250"/>
      <c r="M29" s="240">
        <f t="shared" si="13"/>
        <v>0</v>
      </c>
      <c r="N29" s="240">
        <f t="shared" si="14"/>
        <v>0</v>
      </c>
      <c r="O29" s="241"/>
      <c r="P29" s="250"/>
      <c r="Q29" s="240">
        <f t="shared" si="15"/>
        <v>0</v>
      </c>
      <c r="R29" s="250"/>
      <c r="S29" s="250"/>
      <c r="T29" s="242">
        <f t="shared" si="21"/>
        <v>47253.598770000004</v>
      </c>
      <c r="U29" s="243">
        <f t="shared" si="16"/>
        <v>47253.598770000004</v>
      </c>
      <c r="V29" s="243">
        <f t="shared" si="22"/>
        <v>0</v>
      </c>
      <c r="W29" s="243">
        <f t="shared" si="23"/>
        <v>47253.598770000004</v>
      </c>
      <c r="X29" s="243">
        <f t="shared" si="17"/>
        <v>47253.598770000004</v>
      </c>
      <c r="Y29" s="247">
        <v>47253.598770000004</v>
      </c>
      <c r="Z29" s="251"/>
      <c r="AA29" s="251"/>
      <c r="AB29" s="251"/>
      <c r="AC29" s="251"/>
      <c r="AD29" s="247"/>
      <c r="AE29" s="247"/>
      <c r="AF29" s="248"/>
      <c r="AG29" s="251"/>
      <c r="AH29" s="251"/>
      <c r="AI29" s="251"/>
      <c r="AJ29" s="251"/>
      <c r="AK29" s="245">
        <f t="shared" si="26"/>
        <v>1.2744720114896029</v>
      </c>
      <c r="AL29" s="245">
        <f t="shared" si="25"/>
        <v>1.2744720114896029</v>
      </c>
      <c r="AM29" s="245"/>
      <c r="AN29" s="245">
        <f t="shared" si="25"/>
        <v>1.2744720114896029</v>
      </c>
      <c r="AO29" s="245">
        <f t="shared" si="25"/>
        <v>1.2744720114896029</v>
      </c>
      <c r="AP29" s="245">
        <f t="shared" si="25"/>
        <v>1.2744720114896029</v>
      </c>
      <c r="AQ29" s="245"/>
      <c r="AR29" s="245"/>
      <c r="AS29" s="245"/>
      <c r="AT29" s="245"/>
      <c r="AU29" s="245"/>
      <c r="AV29" s="245"/>
      <c r="AW29" s="245"/>
      <c r="AX29" s="245"/>
      <c r="AY29" s="245"/>
      <c r="AZ29" s="245"/>
      <c r="BA29" s="245"/>
    </row>
    <row r="30" spans="1:55" x14ac:dyDescent="0.25">
      <c r="A30" s="165">
        <v>17</v>
      </c>
      <c r="B30" s="171" t="s">
        <v>310</v>
      </c>
      <c r="C30" s="239">
        <f>D30+E30</f>
        <v>3180</v>
      </c>
      <c r="D30" s="240">
        <f>G30+N30</f>
        <v>3180</v>
      </c>
      <c r="E30" s="240">
        <f>J30+Q30</f>
        <v>0</v>
      </c>
      <c r="F30" s="240">
        <f>G30+J30</f>
        <v>0</v>
      </c>
      <c r="G30" s="240">
        <f>H30+I30</f>
        <v>0</v>
      </c>
      <c r="H30" s="240"/>
      <c r="I30" s="250"/>
      <c r="J30" s="240">
        <f>K30+L30</f>
        <v>0</v>
      </c>
      <c r="K30" s="250"/>
      <c r="L30" s="250"/>
      <c r="M30" s="240">
        <f>N30+Q30</f>
        <v>3180</v>
      </c>
      <c r="N30" s="240">
        <f>O30+P30</f>
        <v>3180</v>
      </c>
      <c r="O30" s="241">
        <v>3180</v>
      </c>
      <c r="P30" s="250"/>
      <c r="Q30" s="240">
        <f>R30+S30</f>
        <v>0</v>
      </c>
      <c r="R30" s="250"/>
      <c r="S30" s="250"/>
      <c r="T30" s="242">
        <f>U30+V30</f>
        <v>0</v>
      </c>
      <c r="U30" s="243">
        <f>X30+AE30</f>
        <v>0</v>
      </c>
      <c r="V30" s="243">
        <f>AA30+AH30</f>
        <v>0</v>
      </c>
      <c r="W30" s="243">
        <f>X30+AA30</f>
        <v>0</v>
      </c>
      <c r="X30" s="243">
        <f>Y30+Z30</f>
        <v>0</v>
      </c>
      <c r="Y30" s="247"/>
      <c r="Z30" s="251"/>
      <c r="AA30" s="251"/>
      <c r="AB30" s="251"/>
      <c r="AC30" s="251"/>
      <c r="AD30" s="247"/>
      <c r="AE30" s="247"/>
      <c r="AF30" s="248"/>
      <c r="AG30" s="251"/>
      <c r="AH30" s="251"/>
      <c r="AI30" s="251"/>
      <c r="AJ30" s="251"/>
      <c r="AK30" s="245">
        <f t="shared" si="26"/>
        <v>0</v>
      </c>
      <c r="AL30" s="245"/>
      <c r="AM30" s="245"/>
      <c r="AN30" s="245"/>
      <c r="AO30" s="245"/>
      <c r="AP30" s="245"/>
      <c r="AQ30" s="245"/>
      <c r="AR30" s="245"/>
      <c r="AS30" s="245"/>
      <c r="AT30" s="245"/>
      <c r="AU30" s="245"/>
      <c r="AV30" s="245"/>
      <c r="AW30" s="245"/>
      <c r="AX30" s="245"/>
      <c r="AY30" s="245"/>
      <c r="AZ30" s="245"/>
      <c r="BA30" s="245"/>
    </row>
    <row r="31" spans="1:55" s="254" customFormat="1" x14ac:dyDescent="0.25">
      <c r="A31" s="169" t="s">
        <v>27</v>
      </c>
      <c r="B31" s="172" t="s">
        <v>311</v>
      </c>
      <c r="C31" s="253">
        <f>SUBTOTAL(9,C32:C42)</f>
        <v>504120</v>
      </c>
      <c r="D31" s="236">
        <f t="shared" ref="D31:AJ31" si="27">SUBTOTAL(9,D32:D42)</f>
        <v>369300</v>
      </c>
      <c r="E31" s="236">
        <f t="shared" si="27"/>
        <v>134820</v>
      </c>
      <c r="F31" s="236">
        <f t="shared" si="27"/>
        <v>141620</v>
      </c>
      <c r="G31" s="236">
        <f t="shared" si="27"/>
        <v>88290</v>
      </c>
      <c r="H31" s="236">
        <f t="shared" si="27"/>
        <v>22215</v>
      </c>
      <c r="I31" s="236">
        <f t="shared" si="27"/>
        <v>66075</v>
      </c>
      <c r="J31" s="236">
        <f t="shared" si="27"/>
        <v>53330</v>
      </c>
      <c r="K31" s="236">
        <f t="shared" si="27"/>
        <v>53330</v>
      </c>
      <c r="L31" s="236">
        <f t="shared" si="27"/>
        <v>0</v>
      </c>
      <c r="M31" s="236">
        <f t="shared" si="27"/>
        <v>362500</v>
      </c>
      <c r="N31" s="236">
        <f t="shared" si="27"/>
        <v>281010</v>
      </c>
      <c r="O31" s="236">
        <f t="shared" si="27"/>
        <v>161010</v>
      </c>
      <c r="P31" s="236">
        <f t="shared" si="27"/>
        <v>120000</v>
      </c>
      <c r="Q31" s="236">
        <f t="shared" si="27"/>
        <v>81490</v>
      </c>
      <c r="R31" s="236">
        <f t="shared" si="27"/>
        <v>81490</v>
      </c>
      <c r="S31" s="236">
        <f t="shared" si="27"/>
        <v>0</v>
      </c>
      <c r="T31" s="237">
        <f t="shared" si="27"/>
        <v>524223.48976900004</v>
      </c>
      <c r="U31" s="237">
        <f t="shared" si="27"/>
        <v>395401.50502599997</v>
      </c>
      <c r="V31" s="237">
        <f t="shared" si="27"/>
        <v>128821.98474300001</v>
      </c>
      <c r="W31" s="237">
        <f t="shared" si="27"/>
        <v>156813.84664899998</v>
      </c>
      <c r="X31" s="236">
        <f t="shared" si="27"/>
        <v>105674.18799999999</v>
      </c>
      <c r="Y31" s="236">
        <f t="shared" si="27"/>
        <v>40817.080999999998</v>
      </c>
      <c r="Z31" s="236">
        <f t="shared" si="27"/>
        <v>64857.107000000004</v>
      </c>
      <c r="AA31" s="237">
        <f t="shared" si="27"/>
        <v>51139.658649000005</v>
      </c>
      <c r="AB31" s="237">
        <f t="shared" si="27"/>
        <v>51139.658649000005</v>
      </c>
      <c r="AC31" s="237">
        <f t="shared" si="27"/>
        <v>0</v>
      </c>
      <c r="AD31" s="237">
        <f t="shared" si="27"/>
        <v>367409.64312000002</v>
      </c>
      <c r="AE31" s="237">
        <f t="shared" si="27"/>
        <v>289727.317026</v>
      </c>
      <c r="AF31" s="237">
        <f t="shared" si="27"/>
        <v>171747.95236900004</v>
      </c>
      <c r="AG31" s="237">
        <f t="shared" si="27"/>
        <v>117979.364657</v>
      </c>
      <c r="AH31" s="237">
        <f t="shared" si="27"/>
        <v>77682.326093999989</v>
      </c>
      <c r="AI31" s="237">
        <f t="shared" si="27"/>
        <v>77682.326093999989</v>
      </c>
      <c r="AJ31" s="237">
        <f t="shared" si="27"/>
        <v>0</v>
      </c>
      <c r="AK31" s="238">
        <f t="shared" si="26"/>
        <v>1.0398783816730144</v>
      </c>
      <c r="AL31" s="238">
        <f t="shared" si="25"/>
        <v>1.0706783239263471</v>
      </c>
      <c r="AM31" s="238">
        <f t="shared" si="25"/>
        <v>0.95551093860703162</v>
      </c>
      <c r="AN31" s="238">
        <f t="shared" si="25"/>
        <v>1.1072860235065667</v>
      </c>
      <c r="AO31" s="238">
        <f t="shared" si="25"/>
        <v>1.1968987201268546</v>
      </c>
      <c r="AP31" s="238">
        <f t="shared" si="25"/>
        <v>1.8373657888813864</v>
      </c>
      <c r="AQ31" s="238"/>
      <c r="AR31" s="238">
        <f t="shared" ref="AR31:AS41" si="28">AA31/J31</f>
        <v>0.95892853270204392</v>
      </c>
      <c r="AS31" s="238">
        <f t="shared" si="28"/>
        <v>0.95892853270204392</v>
      </c>
      <c r="AT31" s="238"/>
      <c r="AU31" s="238">
        <f t="shared" ref="AU31:AW41" si="29">AD31/M31</f>
        <v>1.0135438430896553</v>
      </c>
      <c r="AV31" s="238">
        <f t="shared" si="29"/>
        <v>1.0310213765559946</v>
      </c>
      <c r="AW31" s="238">
        <f t="shared" si="29"/>
        <v>1.0666912140177631</v>
      </c>
      <c r="AX31" s="238"/>
      <c r="AY31" s="238">
        <f t="shared" ref="AY31:AZ41" si="30">AH31/Q31</f>
        <v>0.95327434156338187</v>
      </c>
      <c r="AZ31" s="238">
        <f t="shared" si="30"/>
        <v>0.95327434156338187</v>
      </c>
      <c r="BA31" s="238"/>
    </row>
    <row r="32" spans="1:55" x14ac:dyDescent="0.25">
      <c r="A32" s="165">
        <v>1</v>
      </c>
      <c r="B32" s="166" t="s">
        <v>140</v>
      </c>
      <c r="C32" s="239">
        <f>D32+E32</f>
        <v>10204</v>
      </c>
      <c r="D32" s="240">
        <f>G32+N32</f>
        <v>5077</v>
      </c>
      <c r="E32" s="240">
        <f>J32+Q32</f>
        <v>5127</v>
      </c>
      <c r="F32" s="240">
        <f>G32+J32</f>
        <v>4306</v>
      </c>
      <c r="G32" s="240">
        <f>H32+I32</f>
        <v>2818</v>
      </c>
      <c r="H32" s="240"/>
      <c r="I32" s="240">
        <f>2818</f>
        <v>2818</v>
      </c>
      <c r="J32" s="240">
        <f>K32+L32</f>
        <v>1488</v>
      </c>
      <c r="K32" s="240">
        <v>1488</v>
      </c>
      <c r="L32" s="240"/>
      <c r="M32" s="240">
        <f>N32+Q32</f>
        <v>5898</v>
      </c>
      <c r="N32" s="240">
        <f>O32+P32</f>
        <v>2259</v>
      </c>
      <c r="O32" s="240">
        <f>1139</f>
        <v>1139</v>
      </c>
      <c r="P32" s="240">
        <v>1120</v>
      </c>
      <c r="Q32" s="240">
        <f>R32+S32</f>
        <v>3639</v>
      </c>
      <c r="R32" s="240">
        <v>3639</v>
      </c>
      <c r="S32" s="240"/>
      <c r="T32" s="242">
        <f t="shared" ref="T32:T41" si="31">U32+V32</f>
        <v>8610.3853510000008</v>
      </c>
      <c r="U32" s="243">
        <f>X32+AE32</f>
        <v>4863.2721369999999</v>
      </c>
      <c r="V32" s="243">
        <f>AA32+AH32</f>
        <v>3747.113214</v>
      </c>
      <c r="W32" s="243">
        <f t="shared" ref="W32:W41" si="32">X32+AA32</f>
        <v>4268.8339999999998</v>
      </c>
      <c r="X32" s="240">
        <f>Y32+Z32</f>
        <v>2812.8339999999998</v>
      </c>
      <c r="Y32" s="240"/>
      <c r="Z32" s="240">
        <v>2812.8339999999998</v>
      </c>
      <c r="AA32" s="247">
        <f>AB32+AC32</f>
        <v>1456</v>
      </c>
      <c r="AB32" s="240">
        <f>1454+2</f>
        <v>1456</v>
      </c>
      <c r="AC32" s="247">
        <v>0</v>
      </c>
      <c r="AD32" s="247">
        <f>AE32+AH32</f>
        <v>4341.5513510000001</v>
      </c>
      <c r="AE32" s="247">
        <f>AF32+AG32</f>
        <v>2050.4381370000001</v>
      </c>
      <c r="AF32" s="248">
        <v>1004.525661</v>
      </c>
      <c r="AG32" s="247">
        <v>1045.912476</v>
      </c>
      <c r="AH32" s="243">
        <f t="shared" ref="AH32:AH41" si="33">AI32+AJ32</f>
        <v>2291.113214</v>
      </c>
      <c r="AI32" s="247">
        <v>2291.113214</v>
      </c>
      <c r="AJ32" s="247">
        <v>0</v>
      </c>
      <c r="AK32" s="245">
        <f t="shared" si="26"/>
        <v>0.84382451499412003</v>
      </c>
      <c r="AL32" s="245">
        <f t="shared" si="25"/>
        <v>0.9579027254284026</v>
      </c>
      <c r="AM32" s="245">
        <f t="shared" si="25"/>
        <v>0.7308588285547104</v>
      </c>
      <c r="AN32" s="245">
        <f t="shared" si="25"/>
        <v>0.99136878773803994</v>
      </c>
      <c r="AO32" s="245">
        <f t="shared" si="25"/>
        <v>0.9981667849538679</v>
      </c>
      <c r="AP32" s="245"/>
      <c r="AQ32" s="245"/>
      <c r="AR32" s="245">
        <f t="shared" si="28"/>
        <v>0.978494623655914</v>
      </c>
      <c r="AS32" s="245">
        <f t="shared" si="28"/>
        <v>0.978494623655914</v>
      </c>
      <c r="AT32" s="245"/>
      <c r="AU32" s="245">
        <f t="shared" si="29"/>
        <v>0.73610568853848768</v>
      </c>
      <c r="AV32" s="245">
        <f t="shared" si="29"/>
        <v>0.90767513811420986</v>
      </c>
      <c r="AW32" s="245">
        <f t="shared" si="29"/>
        <v>0.88193648902546096</v>
      </c>
      <c r="AX32" s="245"/>
      <c r="AY32" s="245">
        <f t="shared" si="30"/>
        <v>0.62959967408628748</v>
      </c>
      <c r="AZ32" s="245">
        <f t="shared" si="30"/>
        <v>0.62959967408628748</v>
      </c>
      <c r="BA32" s="245"/>
      <c r="BC32" s="246"/>
    </row>
    <row r="33" spans="1:55" x14ac:dyDescent="0.25">
      <c r="A33" s="165">
        <v>2</v>
      </c>
      <c r="B33" s="166" t="s">
        <v>139</v>
      </c>
      <c r="C33" s="239">
        <f t="shared" ref="C33:C41" si="34">D33+E33</f>
        <v>27419</v>
      </c>
      <c r="D33" s="240">
        <f t="shared" ref="D33:D41" si="35">G33+N33</f>
        <v>19244</v>
      </c>
      <c r="E33" s="240">
        <f t="shared" ref="E33:E41" si="36">J33+Q33</f>
        <v>8175</v>
      </c>
      <c r="F33" s="240">
        <f t="shared" ref="F33:F41" si="37">G33+J33</f>
        <v>9001</v>
      </c>
      <c r="G33" s="240">
        <f t="shared" ref="G33:G41" si="38">H33+I33</f>
        <v>6205</v>
      </c>
      <c r="H33" s="240"/>
      <c r="I33" s="240">
        <f>3916+2289</f>
        <v>6205</v>
      </c>
      <c r="J33" s="240">
        <f t="shared" ref="J33:J41" si="39">K33+L33</f>
        <v>2796</v>
      </c>
      <c r="K33" s="240">
        <v>2796</v>
      </c>
      <c r="L33" s="240"/>
      <c r="M33" s="240">
        <f t="shared" ref="M33:M41" si="40">N33+Q33</f>
        <v>18418</v>
      </c>
      <c r="N33" s="240">
        <f t="shared" ref="N33:N41" si="41">O33+P33</f>
        <v>13039</v>
      </c>
      <c r="O33" s="240">
        <f>6539</f>
        <v>6539</v>
      </c>
      <c r="P33" s="240">
        <v>6500</v>
      </c>
      <c r="Q33" s="240">
        <f t="shared" ref="Q33:Q41" si="42">R33+S33</f>
        <v>5379</v>
      </c>
      <c r="R33" s="240">
        <v>5379</v>
      </c>
      <c r="S33" s="240"/>
      <c r="T33" s="242">
        <f t="shared" si="31"/>
        <v>28819.689087999999</v>
      </c>
      <c r="U33" s="243">
        <f t="shared" ref="U33:U41" si="43">X33+AE33</f>
        <v>21105.769130000001</v>
      </c>
      <c r="V33" s="243">
        <f t="shared" ref="V33:V41" si="44">AA33+AH33</f>
        <v>7713.9199580000004</v>
      </c>
      <c r="W33" s="243">
        <f t="shared" si="32"/>
        <v>8896.8184970000002</v>
      </c>
      <c r="X33" s="240">
        <f t="shared" ref="X33:X41" si="45">Y33+Z33</f>
        <v>6152</v>
      </c>
      <c r="Y33" s="240">
        <v>141.85599999999999</v>
      </c>
      <c r="Z33" s="240">
        <f>6152-141.856</f>
        <v>6010.1440000000002</v>
      </c>
      <c r="AA33" s="247">
        <f t="shared" ref="AA33:AA41" si="46">AB33+AC33</f>
        <v>2744.8184970000002</v>
      </c>
      <c r="AB33" s="240">
        <v>2744.8184970000002</v>
      </c>
      <c r="AC33" s="247">
        <v>0</v>
      </c>
      <c r="AD33" s="247">
        <f t="shared" ref="AD33:AD41" si="47">AE33+AH33</f>
        <v>19922.870590999999</v>
      </c>
      <c r="AE33" s="247">
        <f t="shared" ref="AE33:AE41" si="48">AF33+AG33</f>
        <v>14953.769130000001</v>
      </c>
      <c r="AF33" s="248">
        <v>8453.7691300000006</v>
      </c>
      <c r="AG33" s="247">
        <v>6500</v>
      </c>
      <c r="AH33" s="243">
        <f t="shared" si="33"/>
        <v>4969.1014610000002</v>
      </c>
      <c r="AI33" s="240">
        <v>4969.1014610000002</v>
      </c>
      <c r="AJ33" s="247">
        <v>0</v>
      </c>
      <c r="AK33" s="245">
        <f t="shared" si="26"/>
        <v>1.0510846160691492</v>
      </c>
      <c r="AL33" s="245">
        <f t="shared" si="25"/>
        <v>1.0967454339014757</v>
      </c>
      <c r="AM33" s="245">
        <f t="shared" si="25"/>
        <v>0.9435987716207952</v>
      </c>
      <c r="AN33" s="245">
        <f t="shared" si="25"/>
        <v>0.9884255634929453</v>
      </c>
      <c r="AO33" s="245">
        <f t="shared" si="25"/>
        <v>0.99145850120870271</v>
      </c>
      <c r="AP33" s="245"/>
      <c r="AQ33" s="245"/>
      <c r="AR33" s="245">
        <f t="shared" si="28"/>
        <v>0.98169474141630908</v>
      </c>
      <c r="AS33" s="245">
        <f t="shared" si="28"/>
        <v>0.98169474141630908</v>
      </c>
      <c r="AT33" s="245"/>
      <c r="AU33" s="245">
        <f t="shared" si="29"/>
        <v>1.0817065148767508</v>
      </c>
      <c r="AV33" s="245">
        <f t="shared" si="29"/>
        <v>1.1468493849221566</v>
      </c>
      <c r="AW33" s="245">
        <f t="shared" si="29"/>
        <v>1.292822928582352</v>
      </c>
      <c r="AX33" s="245"/>
      <c r="AY33" s="245">
        <f t="shared" si="30"/>
        <v>0.92379651626696413</v>
      </c>
      <c r="AZ33" s="245">
        <f t="shared" si="30"/>
        <v>0.92379651626696413</v>
      </c>
      <c r="BA33" s="245"/>
      <c r="BC33" s="246"/>
    </row>
    <row r="34" spans="1:55" x14ac:dyDescent="0.25">
      <c r="A34" s="165">
        <v>3</v>
      </c>
      <c r="B34" s="166" t="s">
        <v>141</v>
      </c>
      <c r="C34" s="239">
        <f t="shared" si="34"/>
        <v>28598</v>
      </c>
      <c r="D34" s="240">
        <f t="shared" si="35"/>
        <v>20869</v>
      </c>
      <c r="E34" s="240">
        <f t="shared" si="36"/>
        <v>7729</v>
      </c>
      <c r="F34" s="240">
        <f t="shared" si="37"/>
        <v>7078</v>
      </c>
      <c r="G34" s="240">
        <f t="shared" si="38"/>
        <v>4972</v>
      </c>
      <c r="H34" s="240"/>
      <c r="I34" s="240">
        <f>3916+1056</f>
        <v>4972</v>
      </c>
      <c r="J34" s="240">
        <f t="shared" si="39"/>
        <v>2106</v>
      </c>
      <c r="K34" s="240">
        <v>2106</v>
      </c>
      <c r="L34" s="240"/>
      <c r="M34" s="240">
        <f t="shared" si="40"/>
        <v>21520</v>
      </c>
      <c r="N34" s="240">
        <f t="shared" si="41"/>
        <v>15897</v>
      </c>
      <c r="O34" s="240">
        <f>7947</f>
        <v>7947</v>
      </c>
      <c r="P34" s="240">
        <v>7950</v>
      </c>
      <c r="Q34" s="240">
        <f t="shared" si="42"/>
        <v>5623</v>
      </c>
      <c r="R34" s="240">
        <v>5623</v>
      </c>
      <c r="S34" s="240"/>
      <c r="T34" s="242">
        <f t="shared" si="31"/>
        <v>29212.401357999999</v>
      </c>
      <c r="U34" s="243">
        <f t="shared" si="43"/>
        <v>21518.327094</v>
      </c>
      <c r="V34" s="243">
        <f t="shared" si="44"/>
        <v>7694.0742639999999</v>
      </c>
      <c r="W34" s="243">
        <f t="shared" si="32"/>
        <v>7044.5002640000002</v>
      </c>
      <c r="X34" s="240">
        <f t="shared" si="45"/>
        <v>4971.1970000000001</v>
      </c>
      <c r="Y34" s="240">
        <v>8.7309999999999999</v>
      </c>
      <c r="Z34" s="240">
        <f>4971.197-8.731</f>
        <v>4962.4660000000003</v>
      </c>
      <c r="AA34" s="247">
        <f t="shared" si="46"/>
        <v>2073.3032640000001</v>
      </c>
      <c r="AB34" s="240">
        <v>2073.3032640000001</v>
      </c>
      <c r="AC34" s="247">
        <v>0</v>
      </c>
      <c r="AD34" s="247">
        <f t="shared" si="47"/>
        <v>22167.901094000001</v>
      </c>
      <c r="AE34" s="247">
        <f t="shared" si="48"/>
        <v>16547.130094</v>
      </c>
      <c r="AF34" s="248">
        <v>8617.9570939999994</v>
      </c>
      <c r="AG34" s="247">
        <v>7929.1729999999998</v>
      </c>
      <c r="AH34" s="243">
        <f t="shared" si="33"/>
        <v>5620.7709999999997</v>
      </c>
      <c r="AI34" s="240">
        <v>5620.7709999999997</v>
      </c>
      <c r="AJ34" s="247">
        <v>0</v>
      </c>
      <c r="AK34" s="245">
        <f t="shared" si="26"/>
        <v>1.0214840673473669</v>
      </c>
      <c r="AL34" s="245">
        <f t="shared" si="25"/>
        <v>1.031114432603383</v>
      </c>
      <c r="AM34" s="245">
        <f t="shared" si="25"/>
        <v>0.99548120895329273</v>
      </c>
      <c r="AN34" s="245">
        <f t="shared" si="25"/>
        <v>0.99526706188188763</v>
      </c>
      <c r="AO34" s="245">
        <f t="shared" si="25"/>
        <v>0.99983849557522131</v>
      </c>
      <c r="AP34" s="245"/>
      <c r="AQ34" s="245"/>
      <c r="AR34" s="245">
        <f t="shared" si="28"/>
        <v>0.98447448433048435</v>
      </c>
      <c r="AS34" s="245">
        <f t="shared" si="28"/>
        <v>0.98447448433048435</v>
      </c>
      <c r="AT34" s="245"/>
      <c r="AU34" s="245">
        <f t="shared" si="29"/>
        <v>1.0301069281598514</v>
      </c>
      <c r="AV34" s="245">
        <f t="shared" si="29"/>
        <v>1.0408964014593949</v>
      </c>
      <c r="AW34" s="245">
        <f t="shared" si="29"/>
        <v>1.0844289787341135</v>
      </c>
      <c r="AX34" s="245"/>
      <c r="AY34" s="245">
        <f t="shared" si="30"/>
        <v>0.99960359238840468</v>
      </c>
      <c r="AZ34" s="245">
        <f t="shared" si="30"/>
        <v>0.99960359238840468</v>
      </c>
      <c r="BA34" s="245"/>
      <c r="BC34" s="246"/>
    </row>
    <row r="35" spans="1:55" x14ac:dyDescent="0.25">
      <c r="A35" s="165">
        <v>4</v>
      </c>
      <c r="B35" s="166" t="s">
        <v>142</v>
      </c>
      <c r="C35" s="239">
        <f t="shared" si="34"/>
        <v>40104</v>
      </c>
      <c r="D35" s="240">
        <f t="shared" si="35"/>
        <v>29837</v>
      </c>
      <c r="E35" s="240">
        <f t="shared" si="36"/>
        <v>10267</v>
      </c>
      <c r="F35" s="240">
        <f t="shared" si="37"/>
        <v>6384</v>
      </c>
      <c r="G35" s="240">
        <f t="shared" si="38"/>
        <v>4502</v>
      </c>
      <c r="H35" s="240"/>
      <c r="I35" s="240">
        <f>4502</f>
        <v>4502</v>
      </c>
      <c r="J35" s="240">
        <f t="shared" si="39"/>
        <v>1882</v>
      </c>
      <c r="K35" s="240">
        <v>1882</v>
      </c>
      <c r="L35" s="240"/>
      <c r="M35" s="240">
        <f t="shared" si="40"/>
        <v>33720</v>
      </c>
      <c r="N35" s="240">
        <f t="shared" si="41"/>
        <v>25335</v>
      </c>
      <c r="O35" s="240">
        <v>12685</v>
      </c>
      <c r="P35" s="240">
        <v>12650</v>
      </c>
      <c r="Q35" s="240">
        <f t="shared" si="42"/>
        <v>8385</v>
      </c>
      <c r="R35" s="240">
        <v>8385</v>
      </c>
      <c r="S35" s="240"/>
      <c r="T35" s="242">
        <f t="shared" si="31"/>
        <v>39810.102703000004</v>
      </c>
      <c r="U35" s="243">
        <f t="shared" si="43"/>
        <v>29886.291703000003</v>
      </c>
      <c r="V35" s="243">
        <f t="shared" si="44"/>
        <v>9923.8109999999997</v>
      </c>
      <c r="W35" s="243">
        <f t="shared" si="32"/>
        <v>6346.9329999999991</v>
      </c>
      <c r="X35" s="240">
        <f t="shared" si="45"/>
        <v>4476.2329999999993</v>
      </c>
      <c r="Y35" s="240">
        <v>53.311</v>
      </c>
      <c r="Z35" s="240">
        <v>4422.9219999999996</v>
      </c>
      <c r="AA35" s="247">
        <f t="shared" si="46"/>
        <v>1870.7</v>
      </c>
      <c r="AB35" s="240">
        <v>1870.7</v>
      </c>
      <c r="AC35" s="247">
        <v>0</v>
      </c>
      <c r="AD35" s="247">
        <f t="shared" si="47"/>
        <v>33463.169703</v>
      </c>
      <c r="AE35" s="247">
        <f t="shared" si="48"/>
        <v>25410.058703000002</v>
      </c>
      <c r="AF35" s="248">
        <v>13047.281703000001</v>
      </c>
      <c r="AG35" s="247">
        <v>12362.777</v>
      </c>
      <c r="AH35" s="243">
        <f t="shared" si="33"/>
        <v>8053.1109999999999</v>
      </c>
      <c r="AI35" s="240">
        <v>8053.1109999999999</v>
      </c>
      <c r="AJ35" s="247">
        <v>0</v>
      </c>
      <c r="AK35" s="245">
        <f t="shared" si="26"/>
        <v>0.99267162135946552</v>
      </c>
      <c r="AL35" s="245">
        <f t="shared" si="25"/>
        <v>1.0016520328116099</v>
      </c>
      <c r="AM35" s="245">
        <f t="shared" si="25"/>
        <v>0.96657358527320536</v>
      </c>
      <c r="AN35" s="245">
        <f t="shared" si="25"/>
        <v>0.99419376566416029</v>
      </c>
      <c r="AO35" s="245">
        <f t="shared" si="25"/>
        <v>0.99427654375832952</v>
      </c>
      <c r="AP35" s="245"/>
      <c r="AQ35" s="245"/>
      <c r="AR35" s="245">
        <f t="shared" si="28"/>
        <v>0.99399574920297562</v>
      </c>
      <c r="AS35" s="245">
        <f t="shared" si="28"/>
        <v>0.99399574920297562</v>
      </c>
      <c r="AT35" s="245"/>
      <c r="AU35" s="245">
        <f t="shared" si="29"/>
        <v>0.99238344314946614</v>
      </c>
      <c r="AV35" s="245">
        <f t="shared" si="29"/>
        <v>1.0029626486283798</v>
      </c>
      <c r="AW35" s="245">
        <f t="shared" si="29"/>
        <v>1.0285598504532913</v>
      </c>
      <c r="AX35" s="245"/>
      <c r="AY35" s="245">
        <f t="shared" si="30"/>
        <v>0.96041872391174721</v>
      </c>
      <c r="AZ35" s="245">
        <f t="shared" si="30"/>
        <v>0.96041872391174721</v>
      </c>
      <c r="BA35" s="245"/>
    </row>
    <row r="36" spans="1:55" x14ac:dyDescent="0.25">
      <c r="A36" s="165">
        <v>5</v>
      </c>
      <c r="B36" s="166" t="s">
        <v>154</v>
      </c>
      <c r="C36" s="239">
        <f t="shared" si="34"/>
        <v>113463</v>
      </c>
      <c r="D36" s="240">
        <f t="shared" si="35"/>
        <v>83274</v>
      </c>
      <c r="E36" s="240">
        <f t="shared" si="36"/>
        <v>30189</v>
      </c>
      <c r="F36" s="240">
        <f t="shared" si="37"/>
        <v>48555</v>
      </c>
      <c r="G36" s="240">
        <f t="shared" si="38"/>
        <v>33711</v>
      </c>
      <c r="H36" s="240">
        <f>33711+20578-I36-H24</f>
        <v>22215</v>
      </c>
      <c r="I36" s="250">
        <f>11496</f>
        <v>11496</v>
      </c>
      <c r="J36" s="240">
        <f t="shared" si="39"/>
        <v>14844</v>
      </c>
      <c r="K36" s="240">
        <v>14844</v>
      </c>
      <c r="L36" s="250"/>
      <c r="M36" s="240">
        <f t="shared" si="40"/>
        <v>64908</v>
      </c>
      <c r="N36" s="240">
        <f t="shared" si="41"/>
        <v>49563</v>
      </c>
      <c r="O36" s="240">
        <f>24813</f>
        <v>24813</v>
      </c>
      <c r="P36" s="250">
        <v>24750</v>
      </c>
      <c r="Q36" s="240">
        <f t="shared" si="42"/>
        <v>15345</v>
      </c>
      <c r="R36" s="240">
        <v>15345</v>
      </c>
      <c r="S36" s="250"/>
      <c r="T36" s="242">
        <f t="shared" si="31"/>
        <v>124685.81051900001</v>
      </c>
      <c r="U36" s="243">
        <f t="shared" si="43"/>
        <v>95126.717000000004</v>
      </c>
      <c r="V36" s="243">
        <f t="shared" si="44"/>
        <v>29559.093519000002</v>
      </c>
      <c r="W36" s="243">
        <f t="shared" si="32"/>
        <v>59880.860410000001</v>
      </c>
      <c r="X36" s="240">
        <f t="shared" si="45"/>
        <v>45622.870999999999</v>
      </c>
      <c r="Y36" s="240">
        <f>194.767+29248.393+22166.318+9107.991+2669.81-Y24</f>
        <v>34138.885999999999</v>
      </c>
      <c r="Z36" s="250">
        <f>11678.752-194.767</f>
        <v>11483.985000000001</v>
      </c>
      <c r="AA36" s="247">
        <f t="shared" si="46"/>
        <v>14257.98941</v>
      </c>
      <c r="AB36" s="251">
        <v>14257.98941</v>
      </c>
      <c r="AC36" s="251">
        <v>0</v>
      </c>
      <c r="AD36" s="247">
        <f t="shared" si="47"/>
        <v>64804.950109000005</v>
      </c>
      <c r="AE36" s="247">
        <f t="shared" si="48"/>
        <v>49503.846000000005</v>
      </c>
      <c r="AF36" s="248">
        <v>24795.594000000001</v>
      </c>
      <c r="AG36" s="251">
        <v>24708.252</v>
      </c>
      <c r="AH36" s="243">
        <f t="shared" si="33"/>
        <v>15301.104109</v>
      </c>
      <c r="AI36" s="251">
        <v>15301.104109</v>
      </c>
      <c r="AJ36" s="251">
        <v>0</v>
      </c>
      <c r="AK36" s="245">
        <f t="shared" si="26"/>
        <v>1.0989116321532131</v>
      </c>
      <c r="AL36" s="245">
        <f t="shared" si="25"/>
        <v>1.142333945769388</v>
      </c>
      <c r="AM36" s="245">
        <f t="shared" si="25"/>
        <v>0.979134569512074</v>
      </c>
      <c r="AN36" s="245">
        <f t="shared" si="25"/>
        <v>1.2332583752445681</v>
      </c>
      <c r="AO36" s="245">
        <f t="shared" si="25"/>
        <v>1.3533526445373913</v>
      </c>
      <c r="AP36" s="245"/>
      <c r="AQ36" s="245"/>
      <c r="AR36" s="245">
        <f t="shared" si="28"/>
        <v>0.96052205672325519</v>
      </c>
      <c r="AS36" s="245">
        <f t="shared" si="28"/>
        <v>0.96052205672325519</v>
      </c>
      <c r="AT36" s="245"/>
      <c r="AU36" s="245">
        <f t="shared" si="29"/>
        <v>0.99841236995439708</v>
      </c>
      <c r="AV36" s="245">
        <f t="shared" si="29"/>
        <v>0.99880648871133715</v>
      </c>
      <c r="AW36" s="245">
        <f t="shared" si="29"/>
        <v>0.99929851287631488</v>
      </c>
      <c r="AX36" s="245"/>
      <c r="AY36" s="245">
        <f t="shared" si="30"/>
        <v>0.99713940104268495</v>
      </c>
      <c r="AZ36" s="245">
        <f t="shared" si="30"/>
        <v>0.99713940104268495</v>
      </c>
      <c r="BA36" s="245"/>
    </row>
    <row r="37" spans="1:55" x14ac:dyDescent="0.25">
      <c r="A37" s="165">
        <v>6</v>
      </c>
      <c r="B37" s="166" t="s">
        <v>153</v>
      </c>
      <c r="C37" s="239">
        <f t="shared" si="34"/>
        <v>76883.448999999993</v>
      </c>
      <c r="D37" s="240">
        <f t="shared" si="35"/>
        <v>60939.449000000001</v>
      </c>
      <c r="E37" s="240">
        <f t="shared" si="36"/>
        <v>15944</v>
      </c>
      <c r="F37" s="240">
        <f t="shared" si="37"/>
        <v>14894.449000000001</v>
      </c>
      <c r="G37" s="240">
        <f t="shared" si="38"/>
        <v>10614.449000000001</v>
      </c>
      <c r="H37" s="240">
        <f>10614+13841-I37-H25</f>
        <v>0.44900000000052387</v>
      </c>
      <c r="I37" s="250">
        <f>9153+1461</f>
        <v>10614</v>
      </c>
      <c r="J37" s="240">
        <f t="shared" si="39"/>
        <v>4280</v>
      </c>
      <c r="K37" s="240">
        <v>4280</v>
      </c>
      <c r="L37" s="250"/>
      <c r="M37" s="240">
        <f t="shared" si="40"/>
        <v>61989</v>
      </c>
      <c r="N37" s="240">
        <f t="shared" si="41"/>
        <v>50325</v>
      </c>
      <c r="O37" s="240">
        <v>32025</v>
      </c>
      <c r="P37" s="250">
        <v>18300</v>
      </c>
      <c r="Q37" s="240">
        <f t="shared" si="42"/>
        <v>11664</v>
      </c>
      <c r="R37" s="240">
        <v>11664</v>
      </c>
      <c r="S37" s="250"/>
      <c r="T37" s="242">
        <f t="shared" si="31"/>
        <v>83283.56236299999</v>
      </c>
      <c r="U37" s="243">
        <f t="shared" si="43"/>
        <v>68046.769833999992</v>
      </c>
      <c r="V37" s="243">
        <f t="shared" si="44"/>
        <v>15236.792529</v>
      </c>
      <c r="W37" s="243">
        <f t="shared" si="32"/>
        <v>14559.859979000001</v>
      </c>
      <c r="X37" s="240">
        <f t="shared" si="45"/>
        <v>10620.26</v>
      </c>
      <c r="Y37" s="240">
        <f>48.98+13840.551-Y25</f>
        <v>48.979999999999563</v>
      </c>
      <c r="Z37" s="250">
        <f>10620.26-48.98</f>
        <v>10571.28</v>
      </c>
      <c r="AA37" s="247">
        <f t="shared" si="46"/>
        <v>3939.5999790000001</v>
      </c>
      <c r="AB37" s="251">
        <v>3939.5999790000001</v>
      </c>
      <c r="AC37" s="251">
        <v>0</v>
      </c>
      <c r="AD37" s="247">
        <f t="shared" si="47"/>
        <v>68723.702384000004</v>
      </c>
      <c r="AE37" s="247">
        <f t="shared" si="48"/>
        <v>57426.509833999997</v>
      </c>
      <c r="AF37" s="248">
        <v>39137.301078999997</v>
      </c>
      <c r="AG37" s="251">
        <v>18289.208755</v>
      </c>
      <c r="AH37" s="243">
        <f t="shared" si="33"/>
        <v>11297.19255</v>
      </c>
      <c r="AI37" s="251">
        <v>11297.19255</v>
      </c>
      <c r="AJ37" s="251">
        <v>0</v>
      </c>
      <c r="AK37" s="245">
        <f t="shared" si="26"/>
        <v>1.0832443581322684</v>
      </c>
      <c r="AL37" s="245">
        <f t="shared" si="25"/>
        <v>1.116629227054547</v>
      </c>
      <c r="AM37" s="245">
        <f t="shared" si="25"/>
        <v>0.95564428807074764</v>
      </c>
      <c r="AN37" s="245">
        <f t="shared" si="25"/>
        <v>0.97753599203300512</v>
      </c>
      <c r="AO37" s="245">
        <f t="shared" si="25"/>
        <v>1.0005474612954472</v>
      </c>
      <c r="AP37" s="245"/>
      <c r="AQ37" s="245"/>
      <c r="AR37" s="245">
        <f t="shared" si="28"/>
        <v>0.92046728481308415</v>
      </c>
      <c r="AS37" s="245">
        <f t="shared" si="28"/>
        <v>0.92046728481308415</v>
      </c>
      <c r="AT37" s="245"/>
      <c r="AU37" s="245">
        <f t="shared" si="29"/>
        <v>1.1086435074610013</v>
      </c>
      <c r="AV37" s="245">
        <f t="shared" si="29"/>
        <v>1.1411129624242424</v>
      </c>
      <c r="AW37" s="245">
        <f t="shared" si="29"/>
        <v>1.2220859041061669</v>
      </c>
      <c r="AX37" s="245"/>
      <c r="AY37" s="245">
        <f t="shared" si="30"/>
        <v>0.96855217335390942</v>
      </c>
      <c r="AZ37" s="245">
        <f t="shared" si="30"/>
        <v>0.96855217335390942</v>
      </c>
      <c r="BA37" s="245"/>
    </row>
    <row r="38" spans="1:55" x14ac:dyDescent="0.25">
      <c r="A38" s="165">
        <v>7</v>
      </c>
      <c r="B38" s="166" t="s">
        <v>172</v>
      </c>
      <c r="C38" s="239">
        <f t="shared" si="34"/>
        <v>68405</v>
      </c>
      <c r="D38" s="240">
        <f t="shared" si="35"/>
        <v>53461</v>
      </c>
      <c r="E38" s="240">
        <f t="shared" si="36"/>
        <v>14944</v>
      </c>
      <c r="F38" s="240">
        <f t="shared" si="37"/>
        <v>10865</v>
      </c>
      <c r="G38" s="240">
        <f t="shared" si="38"/>
        <v>7775</v>
      </c>
      <c r="H38" s="240">
        <f>7775+14400-I38-H26</f>
        <v>0</v>
      </c>
      <c r="I38" s="250">
        <f>7049+726</f>
        <v>7775</v>
      </c>
      <c r="J38" s="240">
        <f t="shared" si="39"/>
        <v>3090</v>
      </c>
      <c r="K38" s="240">
        <v>3090</v>
      </c>
      <c r="L38" s="250"/>
      <c r="M38" s="240">
        <f t="shared" si="40"/>
        <v>57540</v>
      </c>
      <c r="N38" s="240">
        <f t="shared" si="41"/>
        <v>45686</v>
      </c>
      <c r="O38" s="240">
        <v>28566</v>
      </c>
      <c r="P38" s="250">
        <v>17120</v>
      </c>
      <c r="Q38" s="240">
        <f t="shared" si="42"/>
        <v>11854</v>
      </c>
      <c r="R38" s="240">
        <v>11854</v>
      </c>
      <c r="S38" s="250"/>
      <c r="T38" s="242">
        <f t="shared" si="31"/>
        <v>68203.261308000001</v>
      </c>
      <c r="U38" s="243">
        <f t="shared" si="43"/>
        <v>53786.147557999997</v>
      </c>
      <c r="V38" s="243">
        <f t="shared" si="44"/>
        <v>14417.11375</v>
      </c>
      <c r="W38" s="243">
        <f t="shared" si="32"/>
        <v>10967.198249999998</v>
      </c>
      <c r="X38" s="240">
        <f t="shared" si="45"/>
        <v>7886.1629999999986</v>
      </c>
      <c r="Y38" s="240">
        <f>154.121+14400-Y26</f>
        <v>154.12099999999919</v>
      </c>
      <c r="Z38" s="250">
        <f>7886.163-154.121</f>
        <v>7732.0419999999995</v>
      </c>
      <c r="AA38" s="247">
        <f t="shared" si="46"/>
        <v>3081.0352499999999</v>
      </c>
      <c r="AB38" s="251">
        <v>3081.0352499999999</v>
      </c>
      <c r="AC38" s="251">
        <v>0</v>
      </c>
      <c r="AD38" s="247">
        <f t="shared" si="47"/>
        <v>57236.063058</v>
      </c>
      <c r="AE38" s="247">
        <f t="shared" si="48"/>
        <v>45899.984557999996</v>
      </c>
      <c r="AF38" s="248">
        <v>28927.801557999999</v>
      </c>
      <c r="AG38" s="251">
        <v>16972.183000000001</v>
      </c>
      <c r="AH38" s="243">
        <f t="shared" si="33"/>
        <v>11336.0785</v>
      </c>
      <c r="AI38" s="251">
        <v>11336.0785</v>
      </c>
      <c r="AJ38" s="251">
        <v>0</v>
      </c>
      <c r="AK38" s="245">
        <f t="shared" si="26"/>
        <v>0.99705081950149843</v>
      </c>
      <c r="AL38" s="245">
        <f t="shared" si="25"/>
        <v>1.0060819580254765</v>
      </c>
      <c r="AM38" s="245">
        <f t="shared" si="25"/>
        <v>0.96474262245717346</v>
      </c>
      <c r="AN38" s="245">
        <f t="shared" si="25"/>
        <v>1.0094061895996316</v>
      </c>
      <c r="AO38" s="245">
        <f t="shared" si="25"/>
        <v>1.0142974919614147</v>
      </c>
      <c r="AP38" s="245"/>
      <c r="AQ38" s="245"/>
      <c r="AR38" s="245">
        <f t="shared" si="28"/>
        <v>0.99709878640776695</v>
      </c>
      <c r="AS38" s="245">
        <f t="shared" si="28"/>
        <v>0.99709878640776695</v>
      </c>
      <c r="AT38" s="245"/>
      <c r="AU38" s="245">
        <f t="shared" si="29"/>
        <v>0.99471781470281539</v>
      </c>
      <c r="AV38" s="245">
        <f t="shared" si="29"/>
        <v>1.0046838103138815</v>
      </c>
      <c r="AW38" s="245">
        <f t="shared" si="29"/>
        <v>1.0126654609675838</v>
      </c>
      <c r="AX38" s="245"/>
      <c r="AY38" s="245">
        <f t="shared" si="30"/>
        <v>0.95630829255947358</v>
      </c>
      <c r="AZ38" s="245">
        <f t="shared" si="30"/>
        <v>0.95630829255947358</v>
      </c>
      <c r="BA38" s="245"/>
    </row>
    <row r="39" spans="1:55" x14ac:dyDescent="0.25">
      <c r="A39" s="165">
        <v>8</v>
      </c>
      <c r="B39" s="166" t="s">
        <v>138</v>
      </c>
      <c r="C39" s="239">
        <f t="shared" si="34"/>
        <v>32020.550999999999</v>
      </c>
      <c r="D39" s="240">
        <f t="shared" si="35"/>
        <v>23559.550999999999</v>
      </c>
      <c r="E39" s="240">
        <f t="shared" si="36"/>
        <v>8461</v>
      </c>
      <c r="F39" s="240">
        <f t="shared" si="37"/>
        <v>7732.5509999999995</v>
      </c>
      <c r="G39" s="240">
        <f t="shared" si="38"/>
        <v>5478.5509999999995</v>
      </c>
      <c r="H39" s="240">
        <f>5479+12503-I39-H27</f>
        <v>-0.44900000000052387</v>
      </c>
      <c r="I39" s="250">
        <f>4028+1451</f>
        <v>5479</v>
      </c>
      <c r="J39" s="240">
        <f t="shared" si="39"/>
        <v>2254</v>
      </c>
      <c r="K39" s="240">
        <v>2254</v>
      </c>
      <c r="L39" s="250"/>
      <c r="M39" s="240">
        <f t="shared" si="40"/>
        <v>24288</v>
      </c>
      <c r="N39" s="240">
        <f t="shared" si="41"/>
        <v>18081</v>
      </c>
      <c r="O39" s="240">
        <f>9081</f>
        <v>9081</v>
      </c>
      <c r="P39" s="250">
        <v>9000</v>
      </c>
      <c r="Q39" s="240">
        <f t="shared" si="42"/>
        <v>6207</v>
      </c>
      <c r="R39" s="240">
        <v>6207</v>
      </c>
      <c r="S39" s="250"/>
      <c r="T39" s="242">
        <f t="shared" si="31"/>
        <v>32091.530041999999</v>
      </c>
      <c r="U39" s="243">
        <f t="shared" si="43"/>
        <v>23749.823891</v>
      </c>
      <c r="V39" s="243">
        <f t="shared" si="44"/>
        <v>8341.7061510000003</v>
      </c>
      <c r="W39" s="243">
        <f t="shared" si="32"/>
        <v>7593.9841510000006</v>
      </c>
      <c r="X39" s="240">
        <f t="shared" si="45"/>
        <v>5356.93</v>
      </c>
      <c r="Y39" s="240">
        <f>12503.449+33.608-Y27</f>
        <v>33.608000000000175</v>
      </c>
      <c r="Z39" s="250">
        <f>5356.93-33.608</f>
        <v>5323.3220000000001</v>
      </c>
      <c r="AA39" s="247">
        <f t="shared" si="46"/>
        <v>2237.0541509999998</v>
      </c>
      <c r="AB39" s="251">
        <v>2237.0541509999998</v>
      </c>
      <c r="AC39" s="251">
        <v>0</v>
      </c>
      <c r="AD39" s="247">
        <f t="shared" si="47"/>
        <v>24497.545891000002</v>
      </c>
      <c r="AE39" s="247">
        <f t="shared" si="48"/>
        <v>18392.893891</v>
      </c>
      <c r="AF39" s="248">
        <v>9405.5239999999994</v>
      </c>
      <c r="AG39" s="251">
        <v>8987.3698910000003</v>
      </c>
      <c r="AH39" s="243">
        <f t="shared" si="33"/>
        <v>6104.652</v>
      </c>
      <c r="AI39" s="251">
        <v>6104.652</v>
      </c>
      <c r="AJ39" s="251">
        <v>0</v>
      </c>
      <c r="AK39" s="245">
        <f t="shared" si="26"/>
        <v>1.0022166714745164</v>
      </c>
      <c r="AL39" s="245">
        <f t="shared" si="25"/>
        <v>1.0080762528538851</v>
      </c>
      <c r="AM39" s="245">
        <f t="shared" si="25"/>
        <v>0.98590073880156015</v>
      </c>
      <c r="AN39" s="245">
        <f t="shared" si="25"/>
        <v>0.98208006012504812</v>
      </c>
      <c r="AO39" s="245">
        <f t="shared" si="25"/>
        <v>0.9778005169615106</v>
      </c>
      <c r="AP39" s="245"/>
      <c r="AQ39" s="245"/>
      <c r="AR39" s="245">
        <f t="shared" si="28"/>
        <v>0.99248187710736457</v>
      </c>
      <c r="AS39" s="245">
        <f t="shared" si="28"/>
        <v>0.99248187710736457</v>
      </c>
      <c r="AT39" s="245"/>
      <c r="AU39" s="245">
        <f t="shared" si="29"/>
        <v>1.0086275482131095</v>
      </c>
      <c r="AV39" s="245">
        <f t="shared" si="29"/>
        <v>1.0172498142248769</v>
      </c>
      <c r="AW39" s="245">
        <f t="shared" si="29"/>
        <v>1.0357365928862459</v>
      </c>
      <c r="AX39" s="245"/>
      <c r="AY39" s="245">
        <f t="shared" si="30"/>
        <v>0.98351087481875299</v>
      </c>
      <c r="AZ39" s="245">
        <f t="shared" si="30"/>
        <v>0.98351087481875299</v>
      </c>
      <c r="BA39" s="245"/>
      <c r="BC39" s="246"/>
    </row>
    <row r="40" spans="1:55" x14ac:dyDescent="0.25">
      <c r="A40" s="165">
        <v>9</v>
      </c>
      <c r="B40" s="166" t="s">
        <v>171</v>
      </c>
      <c r="C40" s="239">
        <f t="shared" si="34"/>
        <v>61343</v>
      </c>
      <c r="D40" s="240">
        <f t="shared" si="35"/>
        <v>38935</v>
      </c>
      <c r="E40" s="240">
        <f t="shared" si="36"/>
        <v>22408</v>
      </c>
      <c r="F40" s="240">
        <f t="shared" si="37"/>
        <v>22979</v>
      </c>
      <c r="G40" s="240">
        <f t="shared" si="38"/>
        <v>9215</v>
      </c>
      <c r="H40" s="240">
        <f>9215+41937-I40-H28</f>
        <v>0</v>
      </c>
      <c r="I40" s="250">
        <f>7182+2033</f>
        <v>9215</v>
      </c>
      <c r="J40" s="240">
        <f t="shared" si="39"/>
        <v>13764</v>
      </c>
      <c r="K40" s="240">
        <v>13764</v>
      </c>
      <c r="L40" s="250"/>
      <c r="M40" s="240">
        <f t="shared" si="40"/>
        <v>38364</v>
      </c>
      <c r="N40" s="240">
        <f t="shared" si="41"/>
        <v>29720</v>
      </c>
      <c r="O40" s="240">
        <f>14870</f>
        <v>14870</v>
      </c>
      <c r="P40" s="250">
        <v>14850</v>
      </c>
      <c r="Q40" s="240">
        <f t="shared" si="42"/>
        <v>8644</v>
      </c>
      <c r="R40" s="240">
        <v>8644</v>
      </c>
      <c r="S40" s="250"/>
      <c r="T40" s="242">
        <f t="shared" si="31"/>
        <v>65058.031000000003</v>
      </c>
      <c r="U40" s="243">
        <f t="shared" si="43"/>
        <v>43733.778000000006</v>
      </c>
      <c r="V40" s="243">
        <f t="shared" si="44"/>
        <v>21324.253000000001</v>
      </c>
      <c r="W40" s="243">
        <f t="shared" si="32"/>
        <v>28449.439000000006</v>
      </c>
      <c r="X40" s="240">
        <f t="shared" si="45"/>
        <v>15207.870000000008</v>
      </c>
      <c r="Y40" s="240">
        <f>36749.084+6055-Y28</f>
        <v>6055.0000000000073</v>
      </c>
      <c r="Z40" s="250">
        <f>9152.87</f>
        <v>9152.8700000000008</v>
      </c>
      <c r="AA40" s="247">
        <f t="shared" si="46"/>
        <v>13241.569</v>
      </c>
      <c r="AB40" s="251">
        <v>13241.569</v>
      </c>
      <c r="AC40" s="251">
        <v>0</v>
      </c>
      <c r="AD40" s="247">
        <f t="shared" si="47"/>
        <v>36608.591999999997</v>
      </c>
      <c r="AE40" s="247">
        <f t="shared" si="48"/>
        <v>28525.907999999999</v>
      </c>
      <c r="AF40" s="248">
        <v>15077.276</v>
      </c>
      <c r="AG40" s="251">
        <v>13448.632</v>
      </c>
      <c r="AH40" s="243">
        <f t="shared" si="33"/>
        <v>8082.6840000000002</v>
      </c>
      <c r="AI40" s="251">
        <v>8082.6840000000002</v>
      </c>
      <c r="AJ40" s="251">
        <v>0</v>
      </c>
      <c r="AK40" s="245">
        <f t="shared" si="26"/>
        <v>1.0605616125719317</v>
      </c>
      <c r="AL40" s="245">
        <f t="shared" si="25"/>
        <v>1.1232510080904072</v>
      </c>
      <c r="AM40" s="245">
        <f t="shared" si="25"/>
        <v>0.95163571046054984</v>
      </c>
      <c r="AN40" s="245">
        <f t="shared" si="25"/>
        <v>1.238062535358371</v>
      </c>
      <c r="AO40" s="245">
        <f t="shared" si="25"/>
        <v>1.6503385784047757</v>
      </c>
      <c r="AP40" s="245"/>
      <c r="AQ40" s="245"/>
      <c r="AR40" s="245">
        <f t="shared" si="28"/>
        <v>0.96204366463237423</v>
      </c>
      <c r="AS40" s="245">
        <f t="shared" si="28"/>
        <v>0.96204366463237423</v>
      </c>
      <c r="AT40" s="245"/>
      <c r="AU40" s="245">
        <f t="shared" si="29"/>
        <v>0.954243353143572</v>
      </c>
      <c r="AV40" s="245">
        <f t="shared" si="29"/>
        <v>0.9598219380888291</v>
      </c>
      <c r="AW40" s="245">
        <f t="shared" si="29"/>
        <v>1.0139392064559516</v>
      </c>
      <c r="AX40" s="245"/>
      <c r="AY40" s="245">
        <f t="shared" si="30"/>
        <v>0.93506293382693195</v>
      </c>
      <c r="AZ40" s="245">
        <f t="shared" si="30"/>
        <v>0.93506293382693195</v>
      </c>
      <c r="BA40" s="245"/>
      <c r="BC40" s="246"/>
    </row>
    <row r="41" spans="1:55" x14ac:dyDescent="0.25">
      <c r="A41" s="165">
        <v>10</v>
      </c>
      <c r="B41" s="166" t="s">
        <v>155</v>
      </c>
      <c r="C41" s="239">
        <f t="shared" si="34"/>
        <v>45680</v>
      </c>
      <c r="D41" s="240">
        <f t="shared" si="35"/>
        <v>34104</v>
      </c>
      <c r="E41" s="240">
        <f t="shared" si="36"/>
        <v>11576</v>
      </c>
      <c r="F41" s="240">
        <f t="shared" si="37"/>
        <v>9825</v>
      </c>
      <c r="G41" s="240">
        <f t="shared" si="38"/>
        <v>2999</v>
      </c>
      <c r="H41" s="240">
        <f>2999+37077-I41-H29</f>
        <v>0</v>
      </c>
      <c r="I41" s="250">
        <f>2999</f>
        <v>2999</v>
      </c>
      <c r="J41" s="240">
        <f t="shared" si="39"/>
        <v>6826</v>
      </c>
      <c r="K41" s="240">
        <v>6826</v>
      </c>
      <c r="L41" s="250"/>
      <c r="M41" s="240">
        <f t="shared" si="40"/>
        <v>35855</v>
      </c>
      <c r="N41" s="240">
        <f t="shared" si="41"/>
        <v>31105</v>
      </c>
      <c r="O41" s="240">
        <v>23345</v>
      </c>
      <c r="P41" s="250">
        <v>7760</v>
      </c>
      <c r="Q41" s="240">
        <f t="shared" si="42"/>
        <v>4750</v>
      </c>
      <c r="R41" s="240">
        <v>4750</v>
      </c>
      <c r="S41" s="250"/>
      <c r="T41" s="242">
        <f t="shared" si="31"/>
        <v>44448.716036999998</v>
      </c>
      <c r="U41" s="243">
        <f t="shared" si="43"/>
        <v>33584.608678999997</v>
      </c>
      <c r="V41" s="243">
        <f t="shared" si="44"/>
        <v>10864.107358000001</v>
      </c>
      <c r="W41" s="243">
        <f t="shared" si="32"/>
        <v>8805.4190979999967</v>
      </c>
      <c r="X41" s="240">
        <f t="shared" si="45"/>
        <v>2567.8299999999958</v>
      </c>
      <c r="Y41" s="240">
        <f>47253.59877+182.588-Y29</f>
        <v>182.5879999999961</v>
      </c>
      <c r="Z41" s="250">
        <f>2567.83-182.588</f>
        <v>2385.2419999999997</v>
      </c>
      <c r="AA41" s="247">
        <f t="shared" si="46"/>
        <v>6237.5890980000004</v>
      </c>
      <c r="AB41" s="251">
        <v>6237.5890980000004</v>
      </c>
      <c r="AC41" s="251">
        <v>0</v>
      </c>
      <c r="AD41" s="247">
        <f t="shared" si="47"/>
        <v>35643.296939</v>
      </c>
      <c r="AE41" s="247">
        <f t="shared" si="48"/>
        <v>31016.778678999999</v>
      </c>
      <c r="AF41" s="248">
        <v>23280.922144</v>
      </c>
      <c r="AG41" s="251">
        <v>7735.8565349999999</v>
      </c>
      <c r="AH41" s="243">
        <f t="shared" si="33"/>
        <v>4626.5182599999998</v>
      </c>
      <c r="AI41" s="251">
        <v>4626.5182599999998</v>
      </c>
      <c r="AJ41" s="251">
        <v>0</v>
      </c>
      <c r="AK41" s="245">
        <f t="shared" si="26"/>
        <v>0.97304544739492116</v>
      </c>
      <c r="AL41" s="245">
        <f>U41/D41</f>
        <v>0.98477036942880591</v>
      </c>
      <c r="AM41" s="245">
        <f>V41/E41</f>
        <v>0.9385027088804424</v>
      </c>
      <c r="AN41" s="245">
        <f>W41/F41</f>
        <v>0.8962258623918572</v>
      </c>
      <c r="AO41" s="245">
        <f>X41/G41</f>
        <v>0.8562287429143034</v>
      </c>
      <c r="AP41" s="245"/>
      <c r="AQ41" s="245"/>
      <c r="AR41" s="245">
        <f t="shared" si="28"/>
        <v>0.91379857866979197</v>
      </c>
      <c r="AS41" s="245">
        <f t="shared" si="28"/>
        <v>0.91379857866979197</v>
      </c>
      <c r="AT41" s="245"/>
      <c r="AU41" s="245">
        <f t="shared" si="29"/>
        <v>0.99409557771579971</v>
      </c>
      <c r="AV41" s="245">
        <f t="shared" si="29"/>
        <v>0.99716375756309272</v>
      </c>
      <c r="AW41" s="245">
        <f t="shared" si="29"/>
        <v>0.99725517858213752</v>
      </c>
      <c r="AX41" s="245"/>
      <c r="AY41" s="245">
        <f t="shared" si="30"/>
        <v>0.97400384421052633</v>
      </c>
      <c r="AZ41" s="245">
        <f t="shared" si="30"/>
        <v>0.97400384421052633</v>
      </c>
      <c r="BA41" s="245"/>
    </row>
    <row r="42" spans="1:55" x14ac:dyDescent="0.25">
      <c r="A42" s="167"/>
      <c r="B42" s="173"/>
      <c r="C42" s="255"/>
      <c r="D42" s="256"/>
      <c r="E42" s="256"/>
      <c r="F42" s="256"/>
      <c r="G42" s="256"/>
      <c r="H42" s="256"/>
      <c r="I42" s="256"/>
      <c r="J42" s="256"/>
      <c r="K42" s="256"/>
      <c r="L42" s="256"/>
      <c r="M42" s="256"/>
      <c r="N42" s="256"/>
      <c r="O42" s="256"/>
      <c r="P42" s="256"/>
      <c r="Q42" s="256"/>
      <c r="R42" s="256"/>
      <c r="S42" s="256"/>
      <c r="T42" s="257"/>
      <c r="U42" s="258"/>
      <c r="V42" s="258"/>
      <c r="W42" s="258"/>
      <c r="X42" s="258"/>
      <c r="Y42" s="258"/>
      <c r="Z42" s="258"/>
      <c r="AA42" s="258"/>
      <c r="AB42" s="258"/>
      <c r="AC42" s="258"/>
      <c r="AD42" s="258"/>
      <c r="AE42" s="258"/>
      <c r="AF42" s="258"/>
      <c r="AG42" s="258"/>
      <c r="AH42" s="258"/>
      <c r="AI42" s="258"/>
      <c r="AJ42" s="258"/>
      <c r="AK42" s="259"/>
      <c r="AL42" s="260"/>
      <c r="AM42" s="260"/>
      <c r="AN42" s="260"/>
      <c r="AO42" s="260"/>
      <c r="AP42" s="260"/>
      <c r="AQ42" s="260"/>
      <c r="AR42" s="260"/>
      <c r="AS42" s="260"/>
      <c r="AT42" s="260"/>
      <c r="AU42" s="260"/>
      <c r="AV42" s="260"/>
      <c r="AW42" s="260"/>
      <c r="AX42" s="260"/>
      <c r="AY42" s="260"/>
      <c r="AZ42" s="260"/>
      <c r="BA42" s="260"/>
    </row>
    <row r="45" spans="1:55" x14ac:dyDescent="0.25">
      <c r="C45" s="261"/>
    </row>
  </sheetData>
  <mergeCells count="47">
    <mergeCell ref="AY9:BA9"/>
    <mergeCell ref="AN9:AN10"/>
    <mergeCell ref="AO9:AQ9"/>
    <mergeCell ref="AR9:AT9"/>
    <mergeCell ref="AU9:AU10"/>
    <mergeCell ref="AV9:AX9"/>
    <mergeCell ref="AZ1:BA1"/>
    <mergeCell ref="A3:BA3"/>
    <mergeCell ref="A4:BA4"/>
    <mergeCell ref="AL6:AM6"/>
    <mergeCell ref="AK7:BA7"/>
    <mergeCell ref="Q1:S1"/>
    <mergeCell ref="A1:B1"/>
    <mergeCell ref="A7:A10"/>
    <mergeCell ref="B7:B10"/>
    <mergeCell ref="C7:S7"/>
    <mergeCell ref="T7:AJ7"/>
    <mergeCell ref="C8:C10"/>
    <mergeCell ref="D8:E8"/>
    <mergeCell ref="F8:L8"/>
    <mergeCell ref="AN8:AT8"/>
    <mergeCell ref="AU8:BA8"/>
    <mergeCell ref="D9:D10"/>
    <mergeCell ref="E9:E10"/>
    <mergeCell ref="F9:F10"/>
    <mergeCell ref="G9:I9"/>
    <mergeCell ref="J9:L9"/>
    <mergeCell ref="M8:S8"/>
    <mergeCell ref="M9:M10"/>
    <mergeCell ref="U8:V8"/>
    <mergeCell ref="W8:AC8"/>
    <mergeCell ref="N9:P9"/>
    <mergeCell ref="Q9:S9"/>
    <mergeCell ref="U9:U10"/>
    <mergeCell ref="V9:V10"/>
    <mergeCell ref="W9:W10"/>
    <mergeCell ref="T8:T10"/>
    <mergeCell ref="AA9:AC9"/>
    <mergeCell ref="X9:Z9"/>
    <mergeCell ref="AH9:AJ9"/>
    <mergeCell ref="AL9:AL10"/>
    <mergeCell ref="AM9:AM10"/>
    <mergeCell ref="AL8:AM8"/>
    <mergeCell ref="AD8:AJ8"/>
    <mergeCell ref="AD9:AD10"/>
    <mergeCell ref="AE9:AG9"/>
    <mergeCell ref="AK8:AK10"/>
  </mergeCells>
  <dataValidations count="1">
    <dataValidation allowBlank="1" showInputMessage="1" showErrorMessage="1" prompt="ct 135" sqref="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dataValidations>
  <printOptions horizontalCentered="1"/>
  <pageMargins left="0" right="0"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62_QT</vt:lpstr>
      <vt:lpstr>63_QT</vt:lpstr>
      <vt:lpstr>64_QT </vt:lpstr>
      <vt:lpstr>65_QT</vt:lpstr>
      <vt:lpstr>66_QT </vt:lpstr>
      <vt:lpstr>67_QT</vt:lpstr>
      <vt:lpstr>68_QT </vt:lpstr>
      <vt:lpstr>'63_QT'!Print_Titles</vt:lpstr>
      <vt:lpstr>'64_QT '!Print_Titles</vt:lpstr>
      <vt:lpstr>'65_QT'!Print_Titles</vt:lpstr>
      <vt:lpstr>'66_QT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2022-01-04T01:56:11Z</dcterms:modified>
</cp:coreProperties>
</file>